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15" yWindow="-150" windowWidth="20610" windowHeight="6240" tabRatio="877" firstSheet="1" activeTab="1"/>
  </bookViews>
  <sheets>
    <sheet name="dict" sheetId="1" state="hidden" r:id="rId1"/>
    <sheet name="Contents" sheetId="2" r:id="rId2"/>
    <sheet name="Statement of fin position" sheetId="3" r:id="rId3"/>
    <sheet name="Statement of compreh income" sheetId="4" r:id="rId4"/>
    <sheet name="Statement of changes in equity" sheetId="5" r:id="rId5"/>
    <sheet name="Statement of cash flows" sheetId="6" r:id="rId6"/>
    <sheet name="Лист1" sheetId="7" state="hidden" r:id="rId7"/>
  </sheets>
  <definedNames>
    <definedName name="_xlnm._FilterDatabase" localSheetId="0" hidden="1">dict!$A$1:$D$553</definedName>
    <definedName name="Z_16DABAA0_1513_42C6_9007_B1BF840F9470_.wvu.Cols" localSheetId="1" hidden="1">Contents!$E:$XFD</definedName>
    <definedName name="Z_16DABAA0_1513_42C6_9007_B1BF840F9470_.wvu.FilterData" localSheetId="0" hidden="1">dict!$A$1:$D$544</definedName>
    <definedName name="Z_16DABAA0_1513_42C6_9007_B1BF840F9470_.wvu.PrintArea" localSheetId="5" hidden="1">'Statement of cash flows'!$A$1:$C$59</definedName>
    <definedName name="Z_16DABAA0_1513_42C6_9007_B1BF840F9470_.wvu.PrintArea" localSheetId="4" hidden="1">'Statement of changes in equity'!$A$1:$E$25</definedName>
    <definedName name="Z_16DABAA0_1513_42C6_9007_B1BF840F9470_.wvu.Rows" localSheetId="1" hidden="1">Contents!$24:$1048576</definedName>
    <definedName name="Z_18DF6C6E_537B_4EAA_BF2C_9F4D2DA88B29_.wvu.FilterData" localSheetId="0" hidden="1">dict!$A$1:$D$487</definedName>
    <definedName name="Z_1B88DE8F_67CE_4B66_A4FD_9CD6CDD44F4E_.wvu.FilterData" localSheetId="0" hidden="1">dict!$A$1:$D$542</definedName>
    <definedName name="Z_371123B4_BB2D_4334_AFFE_1C19B7394DB8_.wvu.Cols" localSheetId="1" hidden="1">Contents!$E:$XFD</definedName>
    <definedName name="Z_371123B4_BB2D_4334_AFFE_1C19B7394DB8_.wvu.FilterData" localSheetId="0" hidden="1">dict!$A$1:$D$490</definedName>
    <definedName name="Z_371123B4_BB2D_4334_AFFE_1C19B7394DB8_.wvu.PrintArea" localSheetId="5" hidden="1">'Statement of cash flows'!$A$1:$C$59</definedName>
    <definedName name="Z_371123B4_BB2D_4334_AFFE_1C19B7394DB8_.wvu.PrintArea" localSheetId="4" hidden="1">'Statement of changes in equity'!$A$1:$E$25</definedName>
    <definedName name="Z_371123B4_BB2D_4334_AFFE_1C19B7394DB8_.wvu.Rows" localSheetId="1" hidden="1">Contents!$24:$1048576</definedName>
    <definedName name="Z_376C48BC_5060_404F_B6E8_0E6C2F946F59_.wvu.FilterData" localSheetId="0" hidden="1">dict!$A$1:$D$517</definedName>
    <definedName name="Z_3D02DD1B_3E5B_45B0_A056_B9ABEF51F47B_.wvu.FilterData" localSheetId="0" hidden="1">dict!$A$1:$D$543</definedName>
    <definedName name="Z_400AE299_78FA_4DED_8C46_29D94E1655E5_.wvu.FilterData" localSheetId="0" hidden="1">dict!$A$1:$D$467</definedName>
    <definedName name="Z_763D3B3E_8D1F_4107_B208_B9EBD8F5D940_.wvu.FilterData" localSheetId="0" hidden="1">dict!$A$1:$D$388</definedName>
    <definedName name="Z_7BD45FB5_E1FE_4761_9067_A9EC2C44DE84_.wvu.FilterData" localSheetId="0" hidden="1">dict!$A$1:$D$467</definedName>
    <definedName name="Z_8356FF00_8C0A_439B_A91D_42F80C065712_.wvu.FilterData" localSheetId="0" hidden="1">dict!$A$1:$D$516</definedName>
    <definedName name="Z_932B1126_4A3E_4CCC_8185_F5389288A744_.wvu.FilterData" localSheetId="0" hidden="1">dict!$A$1:$D$487</definedName>
    <definedName name="Z_B616DD27_CCB2_4CC0_AADB_9B6D172ADF93_.wvu.FilterData" localSheetId="0" hidden="1">dict!$A$1:$D$467</definedName>
    <definedName name="Z_BA259822_0E07_4052_A562_F895651CF688_.wvu.Cols" localSheetId="1" hidden="1">Contents!$E:$XFD</definedName>
    <definedName name="Z_BA259822_0E07_4052_A562_F895651CF688_.wvu.FilterData" localSheetId="0" hidden="1">dict!$A$1:$D$545</definedName>
    <definedName name="Z_BA259822_0E07_4052_A562_F895651CF688_.wvu.PrintArea" localSheetId="5" hidden="1">'Statement of cash flows'!$A$1:$C$59</definedName>
    <definedName name="Z_BA259822_0E07_4052_A562_F895651CF688_.wvu.PrintArea" localSheetId="4" hidden="1">'Statement of changes in equity'!$A$1:$E$25</definedName>
    <definedName name="Z_BA259822_0E07_4052_A562_F895651CF688_.wvu.Rows" localSheetId="1" hidden="1">Contents!$24:$1048576</definedName>
    <definedName name="Z_C4923137_60DC_4F51_8B11_4F08B6BCE93E_.wvu.FilterData" localSheetId="0" hidden="1">dict!$A$1:$D$516</definedName>
    <definedName name="Z_EC5F2008_392D_40E4_B096_5FE6B8C97B31_.wvu.Cols" localSheetId="1" hidden="1">Contents!$E:$XFD</definedName>
    <definedName name="Z_EC5F2008_392D_40E4_B096_5FE6B8C97B31_.wvu.FilterData" localSheetId="0" hidden="1">dict!$A$1:$D$545</definedName>
    <definedName name="Z_EC5F2008_392D_40E4_B096_5FE6B8C97B31_.wvu.PrintArea" localSheetId="5" hidden="1">'Statement of cash flows'!$A$1:$C$59</definedName>
    <definedName name="Z_EC5F2008_392D_40E4_B096_5FE6B8C97B31_.wvu.PrintArea" localSheetId="4" hidden="1">'Statement of changes in equity'!$A$1:$G$25</definedName>
    <definedName name="Z_EC5F2008_392D_40E4_B096_5FE6B8C97B31_.wvu.PrintArea" localSheetId="3" hidden="1">'Statement of compreh income'!$A$1:$D$48</definedName>
    <definedName name="Z_EC5F2008_392D_40E4_B096_5FE6B8C97B31_.wvu.Rows" localSheetId="1" hidden="1">Contents!$24:$1048576</definedName>
    <definedName name="Z_EF7F1FF5_A363_4212_950F_F377D0676E4F_.wvu.Cols" localSheetId="1" hidden="1">Contents!$E:$XFD</definedName>
    <definedName name="Z_EF7F1FF5_A363_4212_950F_F377D0676E4F_.wvu.FilterData" localSheetId="0" hidden="1">dict!$A$1:$D$545</definedName>
    <definedName name="Z_EF7F1FF5_A363_4212_950F_F377D0676E4F_.wvu.PrintArea" localSheetId="5" hidden="1">'Statement of cash flows'!$A$1:$C$59</definedName>
    <definedName name="Z_EF7F1FF5_A363_4212_950F_F377D0676E4F_.wvu.PrintArea" localSheetId="4" hidden="1">'Statement of changes in equity'!$A$1:$G$25</definedName>
    <definedName name="Z_EF7F1FF5_A363_4212_950F_F377D0676E4F_.wvu.PrintArea" localSheetId="3" hidden="1">'Statement of compreh income'!$A$1:$D$48</definedName>
    <definedName name="Z_EF7F1FF5_A363_4212_950F_F377D0676E4F_.wvu.Rows" localSheetId="1" hidden="1">Contents!$24:$1048576</definedName>
    <definedName name="Z_F69F4364_E15C_4D3A_A093_5E8C83CE48F5_.wvu.FilterData" localSheetId="0" hidden="1">dict!$A$1:$D$512</definedName>
    <definedName name="Z_F7754C05_3DA4_4D41_8D23_8E948B6B42DF_.wvu.Cols" localSheetId="1" hidden="1">Contents!$E:$XFD</definedName>
    <definedName name="Z_F7754C05_3DA4_4D41_8D23_8E948B6B42DF_.wvu.FilterData" localSheetId="0" hidden="1">dict!$A$1:$D$548</definedName>
    <definedName name="Z_F7754C05_3DA4_4D41_8D23_8E948B6B42DF_.wvu.PrintArea" localSheetId="5" hidden="1">'Statement of cash flows'!$A$1:$C$59</definedName>
    <definedName name="Z_F7754C05_3DA4_4D41_8D23_8E948B6B42DF_.wvu.PrintArea" localSheetId="4" hidden="1">'Statement of changes in equity'!$A$1:$G$25</definedName>
    <definedName name="Z_F7754C05_3DA4_4D41_8D23_8E948B6B42DF_.wvu.PrintArea" localSheetId="3" hidden="1">'Statement of compreh income'!$A$1:$D$48</definedName>
    <definedName name="Z_F7754C05_3DA4_4D41_8D23_8E948B6B42DF_.wvu.Rows" localSheetId="1" hidden="1">Contents!$24:$1048576</definedName>
    <definedName name="_xlnm.Print_Area" localSheetId="5">'Statement of cash flows'!$A$1:$C$59</definedName>
    <definedName name="_xlnm.Print_Area" localSheetId="4">'Statement of changes in equity'!$A$1:$G$25</definedName>
    <definedName name="_xlnm.Print_Area" localSheetId="3">'Statement of compreh income'!$A$1:$D$48</definedName>
    <definedName name="Основные_операционные_показатели">#REF!</definedName>
  </definedNames>
  <calcPr calcId="144525"/>
  <customWorkbookViews>
    <customWorkbookView name="Романюк Анастасия Валерьевна - Личное представление" guid="{EF7F1FF5-A363-4212-950F-F377D0676E4F}" mergeInterval="0" personalView="1" maximized="1" windowWidth="1362" windowHeight="530" tabRatio="877" activeSheetId="3"/>
    <customWorkbookView name="Громакова Юлия - Личное представление" guid="{BA259822-0E07-4052-A562-F895651CF688}" mergeInterval="0" personalView="1" maximized="1" windowWidth="1360" windowHeight="523" tabRatio="841" activeSheetId="4"/>
    <customWorkbookView name="User - Личное представление" guid="{EC5F2008-392D-40E4-B096-5FE6B8C97B31}" mergeInterval="0" personalView="1" maximized="1" xWindow="-8" yWindow="-8" windowWidth="1380" windowHeight="744" tabRatio="877" activeSheetId="3"/>
    <customWorkbookView name="Nikonorova AA - Личное представление" guid="{16DABAA0-1513-42C6-9007-B1BF840F9470}" mergeInterval="0" personalView="1" maximized="1" windowWidth="1916" windowHeight="775" tabRatio="841" activeSheetId="2"/>
    <customWorkbookView name="Andrey Zadiraka - Личное представление" guid="{371123B4-BB2D-4334-AFFE-1C19B7394DB8}" mergeInterval="0" personalView="1" maximized="1" windowWidth="952" windowHeight="769" tabRatio="882" activeSheetId="4"/>
    <customWorkbookView name="Сотрудник банка - Личное представление" guid="{E2FF84D5-4AA5-487D-9BD4-62B26247C042}" mergeInterval="0" personalView="1" maximized="1" windowWidth="1266" windowHeight="760" activeSheetId="4"/>
    <customWorkbookView name="KovalevaI - Личное представление" guid="{91AD1FE3-D144-4231-BFD3-69CCAD3A157C}" mergeInterval="0" personalView="1" maximized="1" windowWidth="1276" windowHeight="788" activeSheetId="3"/>
    <customWorkbookView name="Nikonorova Alla - Личное представление" guid="{78A2E613-9A38-4028-90E9-40A4D5FC75E6}" mergeInterval="0" personalView="1" maximized="1" windowWidth="1020" windowHeight="600" activeSheetId="4"/>
    <customWorkbookView name="Ермакова Анна Доржиевна - Личное представление" guid="{F7754C05-3DA4-4D41-8D23-8E948B6B42DF}" mergeInterval="0" personalView="1" maximized="1" windowWidth="2880" windowHeight="1290" tabRatio="877" activeSheetId="1"/>
  </customWorkbookViews>
</workbook>
</file>

<file path=xl/calcChain.xml><?xml version="1.0" encoding="utf-8"?>
<calcChain xmlns="http://schemas.openxmlformats.org/spreadsheetml/2006/main">
  <c r="H16" i="5" l="1"/>
  <c r="E14" i="5" l="1"/>
  <c r="F14" i="5"/>
  <c r="H17" i="5"/>
  <c r="G14" i="5"/>
  <c r="D14" i="5"/>
  <c r="H13" i="5"/>
  <c r="H12" i="5"/>
  <c r="C14" i="5"/>
  <c r="B14" i="5"/>
  <c r="H20" i="5"/>
  <c r="F23" i="5"/>
  <c r="F25" i="5" s="1"/>
  <c r="F11" i="5" s="1"/>
  <c r="H22" i="5" l="1"/>
  <c r="F18" i="5"/>
  <c r="C45" i="3" l="1"/>
  <c r="D340" i="1" l="1"/>
  <c r="H24" i="5" l="1"/>
  <c r="H15" i="5" l="1"/>
  <c r="D547" i="1" l="1"/>
  <c r="H21" i="5" l="1"/>
  <c r="H23" i="5" s="1"/>
  <c r="D546" i="1" l="1"/>
  <c r="D513" i="1" l="1"/>
  <c r="D514" i="1"/>
  <c r="D515" i="1"/>
  <c r="D510" i="1"/>
  <c r="C23" i="5" l="1"/>
  <c r="C25" i="5" s="1"/>
  <c r="C11" i="5" s="1"/>
  <c r="C18" i="5" s="1"/>
  <c r="B23" i="5"/>
  <c r="B25" i="5" s="1"/>
  <c r="B11" i="5" s="1"/>
  <c r="B18" i="5" s="1"/>
  <c r="G23" i="5" l="1"/>
  <c r="G25" i="5" s="1"/>
  <c r="G11" i="5" s="1"/>
  <c r="G18" i="5" s="1"/>
  <c r="C22" i="3" l="1"/>
  <c r="C35" i="3"/>
  <c r="C46" i="3" l="1"/>
  <c r="D23" i="5" l="1"/>
  <c r="D25" i="5" s="1"/>
  <c r="D11" i="5" s="1"/>
  <c r="D18" i="5" s="1"/>
  <c r="E23" i="5" l="1"/>
  <c r="E25" i="5" s="1"/>
  <c r="E11" i="5" s="1"/>
  <c r="E18" i="5" s="1"/>
  <c r="H25" i="5" l="1"/>
  <c r="H11" i="5" s="1"/>
  <c r="D442" i="1" l="1"/>
  <c r="D441" i="1"/>
  <c r="D438" i="1" l="1"/>
  <c r="D526" i="1" l="1"/>
  <c r="D519" i="1"/>
  <c r="D200" i="1"/>
  <c r="D478" i="1"/>
  <c r="D471" i="1" l="1"/>
  <c r="D60" i="1" l="1"/>
  <c r="D70" i="1" l="1"/>
  <c r="C10" i="6"/>
  <c r="B10" i="6"/>
  <c r="D440" i="1"/>
  <c r="D428" i="1"/>
  <c r="D437" i="1"/>
  <c r="D435" i="1"/>
  <c r="D446" i="1"/>
  <c r="D426" i="1"/>
  <c r="D422" i="1"/>
  <c r="D525" i="1"/>
  <c r="D511" i="1"/>
  <c r="D213" i="1"/>
  <c r="D518" i="1"/>
  <c r="D491" i="1"/>
  <c r="D492" i="1"/>
  <c r="D482" i="1"/>
  <c r="D477" i="1"/>
  <c r="D474" i="1"/>
  <c r="D447" i="1" l="1"/>
  <c r="D445" i="1" l="1"/>
  <c r="D430" i="1"/>
  <c r="D431" i="1"/>
  <c r="D432" i="1"/>
  <c r="D433" i="1"/>
  <c r="D434" i="1"/>
  <c r="D436" i="1"/>
  <c r="D439" i="1"/>
  <c r="D444" i="1"/>
  <c r="D345" i="1" l="1"/>
  <c r="D343" i="1"/>
  <c r="D307" i="1"/>
  <c r="D429" i="1"/>
  <c r="D427" i="1"/>
  <c r="D425" i="1"/>
  <c r="D421" i="1"/>
  <c r="B540" i="1"/>
  <c r="D199" i="1"/>
  <c r="D470" i="1"/>
  <c r="D473" i="1"/>
  <c r="D524" i="1" l="1"/>
  <c r="D523" i="1"/>
  <c r="D522" i="1"/>
  <c r="D521" i="1"/>
  <c r="D520" i="1"/>
  <c r="D517" i="1"/>
  <c r="D516" i="1"/>
  <c r="D512" i="1"/>
  <c r="D509" i="1"/>
  <c r="D508" i="1"/>
  <c r="D507" i="1"/>
  <c r="D506" i="1"/>
  <c r="D505" i="1"/>
  <c r="D504" i="1"/>
  <c r="D503" i="1"/>
  <c r="D497" i="1"/>
  <c r="D496" i="1"/>
  <c r="D495" i="1"/>
  <c r="D494" i="1"/>
  <c r="D493" i="1"/>
  <c r="D490" i="1" l="1"/>
  <c r="D489" i="1"/>
  <c r="D487" i="1"/>
  <c r="D486" i="1"/>
  <c r="D485" i="1"/>
  <c r="D484" i="1"/>
  <c r="D469" i="1"/>
  <c r="D472" i="1"/>
  <c r="D476" i="1"/>
  <c r="D480" i="1"/>
  <c r="D481" i="1"/>
  <c r="D483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51" i="1"/>
  <c r="D350" i="1"/>
  <c r="D349" i="1"/>
  <c r="D348" i="1"/>
  <c r="D347" i="1"/>
  <c r="D346" i="1"/>
  <c r="D344" i="1"/>
  <c r="D342" i="1"/>
  <c r="D341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8" i="1"/>
  <c r="D316" i="1"/>
  <c r="D315" i="1"/>
  <c r="D314" i="1"/>
  <c r="D313" i="1"/>
  <c r="D312" i="1"/>
  <c r="D311" i="1"/>
  <c r="D310" i="1"/>
  <c r="D309" i="1"/>
  <c r="D308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2" i="1"/>
  <c r="D211" i="1"/>
  <c r="D209" i="1"/>
  <c r="D207" i="1"/>
  <c r="D205" i="1"/>
  <c r="D204" i="1"/>
  <c r="D203" i="1"/>
  <c r="D202" i="1"/>
  <c r="D201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69" i="1"/>
  <c r="D68" i="1"/>
  <c r="D67" i="1"/>
  <c r="D66" i="1"/>
  <c r="D65" i="1"/>
  <c r="D64" i="1"/>
  <c r="D63" i="1"/>
  <c r="D62" i="1"/>
  <c r="D61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D14" i="2" l="1"/>
  <c r="A47" i="4" s="1"/>
  <c r="D13" i="2"/>
  <c r="A17" i="5" l="1"/>
  <c r="A15" i="3"/>
  <c r="A16" i="3"/>
  <c r="A59" i="6"/>
  <c r="A51" i="6"/>
  <c r="A50" i="6"/>
  <c r="A29" i="4"/>
  <c r="A28" i="4"/>
  <c r="A16" i="4"/>
  <c r="A18" i="5"/>
  <c r="A13" i="5"/>
  <c r="A12" i="5"/>
  <c r="A16" i="5"/>
  <c r="A21" i="5"/>
  <c r="A25" i="5"/>
  <c r="A22" i="5"/>
  <c r="F10" i="5"/>
  <c r="A44" i="3"/>
  <c r="D6" i="4"/>
  <c r="E6" i="4"/>
  <c r="B7" i="2"/>
  <c r="A49" i="6"/>
  <c r="A52" i="6"/>
  <c r="A36" i="6"/>
  <c r="A15" i="5"/>
  <c r="A14" i="5"/>
  <c r="A14" i="4"/>
  <c r="D6" i="3"/>
  <c r="A15" i="4"/>
  <c r="E6" i="3"/>
  <c r="F6" i="3"/>
  <c r="A46" i="4"/>
  <c r="A33" i="4"/>
  <c r="A31" i="4"/>
  <c r="A38" i="4"/>
  <c r="A23" i="5"/>
  <c r="A24" i="5"/>
  <c r="A45" i="4"/>
  <c r="A45" i="6"/>
  <c r="A17" i="6"/>
  <c r="A16" i="6"/>
  <c r="A30" i="4"/>
  <c r="F6" i="6"/>
  <c r="E6" i="6"/>
  <c r="D6" i="6"/>
  <c r="C6" i="6"/>
  <c r="C6" i="4"/>
  <c r="A6" i="3"/>
  <c r="B6" i="3"/>
  <c r="C6" i="3"/>
  <c r="A21" i="4"/>
  <c r="A19" i="4"/>
  <c r="A24" i="4"/>
  <c r="A20" i="5"/>
  <c r="A11" i="5"/>
  <c r="A26" i="4"/>
  <c r="A29" i="3"/>
  <c r="A41" i="3"/>
  <c r="A20" i="4"/>
  <c r="F6" i="5"/>
  <c r="E6" i="5"/>
  <c r="A27" i="4"/>
  <c r="A37" i="4"/>
  <c r="A31" i="3"/>
  <c r="A30" i="3"/>
  <c r="H10" i="5"/>
  <c r="A23" i="4"/>
  <c r="A46" i="6"/>
  <c r="A13" i="6"/>
  <c r="A12" i="6"/>
  <c r="A53" i="6"/>
  <c r="A11" i="4"/>
  <c r="A39" i="6"/>
  <c r="A40" i="6"/>
  <c r="A6" i="6"/>
  <c r="A36" i="4"/>
  <c r="A6" i="5"/>
  <c r="D10" i="5"/>
  <c r="A6" i="4"/>
  <c r="A10" i="4"/>
  <c r="A38" i="3"/>
  <c r="A9" i="4"/>
  <c r="A13" i="4"/>
  <c r="A25" i="4"/>
  <c r="A42" i="4"/>
  <c r="A34" i="4"/>
  <c r="A43" i="4"/>
  <c r="A35" i="4"/>
  <c r="A41" i="4"/>
  <c r="A40" i="4"/>
  <c r="A18" i="3"/>
  <c r="A22" i="4"/>
  <c r="A21" i="3"/>
  <c r="A33" i="6"/>
  <c r="A18" i="6"/>
  <c r="A19" i="6"/>
  <c r="A24" i="6"/>
  <c r="A30" i="6"/>
  <c r="A43" i="6"/>
  <c r="A44" i="6"/>
  <c r="E10" i="5"/>
  <c r="A42" i="3"/>
  <c r="A38" i="6"/>
  <c r="A45" i="3"/>
  <c r="A14" i="6"/>
  <c r="B3" i="2"/>
  <c r="A35" i="6"/>
  <c r="A43" i="3"/>
  <c r="B3" i="6"/>
  <c r="A11" i="6"/>
  <c r="A40" i="3"/>
  <c r="A46" i="3"/>
  <c r="A27" i="3"/>
  <c r="A57" i="6"/>
  <c r="A23" i="6"/>
  <c r="A26" i="6"/>
  <c r="A48" i="6"/>
  <c r="A25" i="3"/>
  <c r="A48" i="4"/>
  <c r="A19" i="3"/>
  <c r="A28" i="3"/>
  <c r="A20" i="6"/>
  <c r="A41" i="6"/>
  <c r="A25" i="6"/>
  <c r="B6" i="6"/>
  <c r="D6" i="5"/>
  <c r="B6" i="5"/>
  <c r="A54" i="6"/>
  <c r="A24" i="3"/>
  <c r="A18" i="4"/>
  <c r="A9" i="3"/>
  <c r="A20" i="3"/>
  <c r="A26" i="3"/>
  <c r="A42" i="6"/>
  <c r="A21" i="6"/>
  <c r="B10" i="5"/>
  <c r="B11" i="2"/>
  <c r="A34" i="3"/>
  <c r="A37" i="3"/>
  <c r="A17" i="4"/>
  <c r="A35" i="3"/>
  <c r="A11" i="3"/>
  <c r="A27" i="6"/>
  <c r="A9" i="6"/>
  <c r="A58" i="6"/>
  <c r="A31" i="6"/>
  <c r="B10" i="2"/>
  <c r="G10" i="5"/>
  <c r="B3" i="5"/>
  <c r="A12" i="4"/>
  <c r="B6" i="4"/>
  <c r="A22" i="3"/>
  <c r="B12" i="2"/>
  <c r="A34" i="6"/>
  <c r="A56" i="6"/>
  <c r="A14" i="3"/>
  <c r="A17" i="3"/>
  <c r="A32" i="6"/>
  <c r="B9" i="2"/>
  <c r="A32" i="4"/>
  <c r="A12" i="3"/>
  <c r="A10" i="6"/>
  <c r="A13" i="3"/>
  <c r="A29" i="6"/>
  <c r="A9" i="5"/>
  <c r="A15" i="6"/>
  <c r="C10" i="5"/>
  <c r="B3" i="4"/>
  <c r="C6" i="5"/>
  <c r="A32" i="3"/>
  <c r="A33" i="3"/>
  <c r="A28" i="6"/>
  <c r="A39" i="3"/>
  <c r="H14" i="5" l="1"/>
  <c r="H18" i="5" s="1"/>
  <c r="C54" i="6" l="1"/>
  <c r="C45" i="4"/>
  <c r="C46" i="6" l="1"/>
  <c r="C21" i="6"/>
  <c r="C36" i="6" s="1"/>
  <c r="C14" i="4"/>
  <c r="C16" i="4" s="1"/>
  <c r="C31" i="4" s="1"/>
  <c r="C33" i="4" s="1"/>
  <c r="C46" i="4" s="1"/>
  <c r="C57" i="6" l="1"/>
  <c r="C59" i="6" s="1"/>
  <c r="B54" i="6" l="1"/>
  <c r="B35" i="3"/>
  <c r="B14" i="4" l="1"/>
  <c r="B16" i="4" l="1"/>
  <c r="B31" i="4" s="1"/>
  <c r="B33" i="4" l="1"/>
  <c r="B22" i="3" l="1"/>
  <c r="B45" i="3"/>
  <c r="B46" i="3" s="1"/>
  <c r="B46" i="6" l="1"/>
  <c r="B45" i="4" l="1"/>
  <c r="B46" i="4" s="1"/>
  <c r="B21" i="6" l="1"/>
  <c r="B36" i="6" l="1"/>
  <c r="B57" i="6" s="1"/>
  <c r="B59" i="6" s="1"/>
</calcChain>
</file>

<file path=xl/sharedStrings.xml><?xml version="1.0" encoding="utf-8"?>
<sst xmlns="http://schemas.openxmlformats.org/spreadsheetml/2006/main" count="1129" uniqueCount="969">
  <si>
    <t>Cash flows from operating activities</t>
  </si>
  <si>
    <t xml:space="preserve">Share capital </t>
  </si>
  <si>
    <t xml:space="preserve">Share premium </t>
  </si>
  <si>
    <t>Retained earnings</t>
  </si>
  <si>
    <t xml:space="preserve">Key performance indicators </t>
  </si>
  <si>
    <t>Основные операционные показатели</t>
  </si>
  <si>
    <t>Отчет о финансовом положении</t>
  </si>
  <si>
    <t>Loan portfolio</t>
  </si>
  <si>
    <t>Кредитный портфель</t>
  </si>
  <si>
    <t>Client funds</t>
  </si>
  <si>
    <t>Средства клиентов</t>
  </si>
  <si>
    <t>Capital</t>
  </si>
  <si>
    <t>Капитал</t>
  </si>
  <si>
    <t>Доходы и расходы</t>
  </si>
  <si>
    <t>Statement of Changes in Equity</t>
  </si>
  <si>
    <t>Statement of Cash Flows</t>
  </si>
  <si>
    <t>Отчет о движении денежных средств</t>
  </si>
  <si>
    <t>id</t>
  </si>
  <si>
    <t>RUS</t>
  </si>
  <si>
    <t>ENG</t>
  </si>
  <si>
    <t>Выбор языка отчёта:</t>
  </si>
  <si>
    <t xml:space="preserve">Assets and Provision </t>
  </si>
  <si>
    <t xml:space="preserve">Liabilities </t>
  </si>
  <si>
    <t xml:space="preserve">Income and Expense </t>
  </si>
  <si>
    <t>Активы и резервы</t>
  </si>
  <si>
    <t>Пассивы</t>
  </si>
  <si>
    <t xml:space="preserve">Доходы и расходы </t>
  </si>
  <si>
    <t xml:space="preserve">Financial indicators </t>
  </si>
  <si>
    <t xml:space="preserve">Core income </t>
  </si>
  <si>
    <t xml:space="preserve">Net interest income </t>
  </si>
  <si>
    <t xml:space="preserve">Net fee and commission income </t>
  </si>
  <si>
    <t xml:space="preserve">NPL ratio </t>
  </si>
  <si>
    <t xml:space="preserve">Loan portfolio </t>
  </si>
  <si>
    <t xml:space="preserve">Deposits </t>
  </si>
  <si>
    <t xml:space="preserve">Loan-to-Deposit ratio </t>
  </si>
  <si>
    <t xml:space="preserve">Performance Ratios </t>
  </si>
  <si>
    <t xml:space="preserve">Net interest margin </t>
  </si>
  <si>
    <t xml:space="preserve">Cost-to-Income Ratio </t>
  </si>
  <si>
    <t xml:space="preserve">ROA </t>
  </si>
  <si>
    <t xml:space="preserve">ROE </t>
  </si>
  <si>
    <t xml:space="preserve">Capital ratios </t>
  </si>
  <si>
    <t xml:space="preserve">Total capital adequacy ratio </t>
  </si>
  <si>
    <t xml:space="preserve">Tier 1  ratio </t>
  </si>
  <si>
    <t xml:space="preserve">Staff and Branches </t>
  </si>
  <si>
    <t xml:space="preserve">Average headcount per quarter, people </t>
  </si>
  <si>
    <t>Финансовые показатели</t>
  </si>
  <si>
    <t>Общий доход</t>
  </si>
  <si>
    <t>Чистый процентный доход</t>
  </si>
  <si>
    <t>Чистый комиссионный доход</t>
  </si>
  <si>
    <t>Отношение резервов к кредитному портфелю</t>
  </si>
  <si>
    <t>Показатель проблемной задолженности</t>
  </si>
  <si>
    <t>Депозиты</t>
  </si>
  <si>
    <t>Показатели деятельности</t>
  </si>
  <si>
    <t>Чистая процентная маржа</t>
  </si>
  <si>
    <t>Показатель затрат к доходам</t>
  </si>
  <si>
    <t>Рентабельность активов</t>
  </si>
  <si>
    <t>Рентабельность капитала</t>
  </si>
  <si>
    <t>Показатели капитала</t>
  </si>
  <si>
    <t>Коэффициент достаточности капитала 1го уровня</t>
  </si>
  <si>
    <t>Персонал и филиалы</t>
  </si>
  <si>
    <t>Филиалы и отделения на конец периода</t>
  </si>
  <si>
    <t>Среднесписочная численность работников за квартал, чел</t>
  </si>
  <si>
    <t>Коэффициент достаточности капитала 1го и 2го уровня</t>
  </si>
  <si>
    <t xml:space="preserve">In millions of Russian Roubles </t>
  </si>
  <si>
    <t xml:space="preserve">Balance sheet </t>
  </si>
  <si>
    <t xml:space="preserve">ASSETS </t>
  </si>
  <si>
    <t xml:space="preserve">Cash and cash equivalents </t>
  </si>
  <si>
    <t xml:space="preserve">Trading securities </t>
  </si>
  <si>
    <t xml:space="preserve">Due from other banks </t>
  </si>
  <si>
    <t xml:space="preserve">Loans and advances to customers </t>
  </si>
  <si>
    <t xml:space="preserve">Investment securities available for sale </t>
  </si>
  <si>
    <t xml:space="preserve">Investment securities held to maturity </t>
  </si>
  <si>
    <t xml:space="preserve">Premises, equipment and intangible assets </t>
  </si>
  <si>
    <t xml:space="preserve">Other financial assets </t>
  </si>
  <si>
    <t xml:space="preserve">Other assets </t>
  </si>
  <si>
    <t xml:space="preserve">TOTAL ASSETS </t>
  </si>
  <si>
    <t xml:space="preserve">LIABILITIES </t>
  </si>
  <si>
    <t xml:space="preserve">Due to other banks </t>
  </si>
  <si>
    <t xml:space="preserve">Customer accounts </t>
  </si>
  <si>
    <t xml:space="preserve">Debt securities in issue </t>
  </si>
  <si>
    <t xml:space="preserve">Subordinated loans </t>
  </si>
  <si>
    <t xml:space="preserve">Syndicated loans </t>
  </si>
  <si>
    <t xml:space="preserve">Other financial liabilities </t>
  </si>
  <si>
    <t xml:space="preserve">Other liabilities </t>
  </si>
  <si>
    <t xml:space="preserve">TOTAL LIABILITIES </t>
  </si>
  <si>
    <t xml:space="preserve">EQUITY  </t>
  </si>
  <si>
    <t xml:space="preserve">Retained earnings </t>
  </si>
  <si>
    <t xml:space="preserve">TOTAL EQUITY </t>
  </si>
  <si>
    <t xml:space="preserve">TOTAL LIABILITIES AND EQUITY </t>
  </si>
  <si>
    <t xml:space="preserve">Balance sheet ratios </t>
  </si>
  <si>
    <t xml:space="preserve">Balance sheet structure </t>
  </si>
  <si>
    <t xml:space="preserve">Industry breakdown </t>
  </si>
  <si>
    <t xml:space="preserve">Кредитный портфель </t>
  </si>
  <si>
    <t xml:space="preserve">Manufacturing </t>
  </si>
  <si>
    <t xml:space="preserve">Individuals </t>
  </si>
  <si>
    <t xml:space="preserve">Administrations </t>
  </si>
  <si>
    <t xml:space="preserve">Retail and wholesale trade </t>
  </si>
  <si>
    <t xml:space="preserve">Financial companies </t>
  </si>
  <si>
    <t xml:space="preserve">Construction </t>
  </si>
  <si>
    <t xml:space="preserve">Agriculture </t>
  </si>
  <si>
    <t xml:space="preserve">Transport </t>
  </si>
  <si>
    <t xml:space="preserve">Other loans </t>
  </si>
  <si>
    <t xml:space="preserve">Total </t>
  </si>
  <si>
    <t xml:space="preserve">Provisions for loan impairment </t>
  </si>
  <si>
    <t xml:space="preserve">Provisions for loan impairment at the end of the period </t>
  </si>
  <si>
    <t xml:space="preserve">Outstanding loans at the end of the period </t>
  </si>
  <si>
    <t xml:space="preserve">Provisions as a percent of the total portfolio , % </t>
  </si>
  <si>
    <t xml:space="preserve">    corporate, % </t>
  </si>
  <si>
    <t xml:space="preserve">    individual, % </t>
  </si>
  <si>
    <t xml:space="preserve">    legal entities </t>
  </si>
  <si>
    <t xml:space="preserve">    retail </t>
  </si>
  <si>
    <t xml:space="preserve">Loan portfolio by type of client </t>
  </si>
  <si>
    <t xml:space="preserve">Крединый портфель по типу клиентов </t>
  </si>
  <si>
    <t xml:space="preserve">Loan portfolio by region </t>
  </si>
  <si>
    <t xml:space="preserve">Moscow </t>
  </si>
  <si>
    <t xml:space="preserve">Moscow Oblast </t>
  </si>
  <si>
    <t xml:space="preserve">Other regions </t>
  </si>
  <si>
    <t xml:space="preserve">Retail loans by type </t>
  </si>
  <si>
    <t xml:space="preserve">Mortgages </t>
  </si>
  <si>
    <t xml:space="preserve">Credit cards </t>
  </si>
  <si>
    <t xml:space="preserve">Car loans </t>
  </si>
  <si>
    <t xml:space="preserve">Consumer loans </t>
  </si>
  <si>
    <t xml:space="preserve">Corporate loans - large </t>
  </si>
  <si>
    <t xml:space="preserve">Mortgage loans </t>
  </si>
  <si>
    <t xml:space="preserve">Other loans to individuals </t>
  </si>
  <si>
    <t xml:space="preserve">Total loans </t>
  </si>
  <si>
    <t xml:space="preserve">Less: Provision for loan impairment </t>
  </si>
  <si>
    <t xml:space="preserve">Total loans and advances to customers less provision for loan impairment </t>
  </si>
  <si>
    <t xml:space="preserve">Provision for loan impairment by type of clients </t>
  </si>
  <si>
    <t xml:space="preserve">Corporate loans </t>
  </si>
  <si>
    <t xml:space="preserve">Retail loans </t>
  </si>
  <si>
    <t xml:space="preserve">Analysis by credit quality of loans outstanding </t>
  </si>
  <si>
    <t xml:space="preserve">Current and not impaired </t>
  </si>
  <si>
    <t xml:space="preserve">Less provisions for loan impairment </t>
  </si>
  <si>
    <t xml:space="preserve">Total loans and advances to customers </t>
  </si>
  <si>
    <t xml:space="preserve">in % </t>
  </si>
  <si>
    <t xml:space="preserve">Сredit Quality &amp; Concentration  </t>
  </si>
  <si>
    <t xml:space="preserve">Movement of the provision for loan impairment </t>
  </si>
  <si>
    <t xml:space="preserve">Corporate loans - small and medium </t>
  </si>
  <si>
    <t xml:space="preserve">Corporate client funds </t>
  </si>
  <si>
    <t xml:space="preserve">Retail funds </t>
  </si>
  <si>
    <t xml:space="preserve">Funds of Government and state organizations </t>
  </si>
  <si>
    <t xml:space="preserve">Less than 1 month </t>
  </si>
  <si>
    <t xml:space="preserve">1-6 months </t>
  </si>
  <si>
    <t xml:space="preserve">6-12 months </t>
  </si>
  <si>
    <t xml:space="preserve">Over 12 months </t>
  </si>
  <si>
    <t xml:space="preserve">Capital adequacy </t>
  </si>
  <si>
    <t xml:space="preserve">Less </t>
  </si>
  <si>
    <t xml:space="preserve"> - investments to non-consolidated subsidiaries </t>
  </si>
  <si>
    <t xml:space="preserve">tier 1 + tier 2 </t>
  </si>
  <si>
    <t xml:space="preserve">tier 1 </t>
  </si>
  <si>
    <t xml:space="preserve">Interest income </t>
  </si>
  <si>
    <t xml:space="preserve">Interest expense </t>
  </si>
  <si>
    <t xml:space="preserve">Provision for loan impairment </t>
  </si>
  <si>
    <t xml:space="preserve">Fee and commission income </t>
  </si>
  <si>
    <t xml:space="preserve">Fee and commission expense </t>
  </si>
  <si>
    <t xml:space="preserve">Operating income </t>
  </si>
  <si>
    <t xml:space="preserve">Administrative and other operating expenses </t>
  </si>
  <si>
    <t xml:space="preserve">Provision for impairment of other assets </t>
  </si>
  <si>
    <t xml:space="preserve">Ordinary shares </t>
  </si>
  <si>
    <t xml:space="preserve">Сost to income ratio </t>
  </si>
  <si>
    <t xml:space="preserve">Net profit per average employee in thousand RR </t>
  </si>
  <si>
    <t xml:space="preserve">Taxation/Profit before tax </t>
  </si>
  <si>
    <t xml:space="preserve">Yields on net earning assets </t>
  </si>
  <si>
    <t xml:space="preserve">Cost of funds </t>
  </si>
  <si>
    <t xml:space="preserve">Interest Spread </t>
  </si>
  <si>
    <t xml:space="preserve">    retail loan portfolio </t>
  </si>
  <si>
    <t xml:space="preserve">Provision charges  </t>
  </si>
  <si>
    <t xml:space="preserve">Provision for loan impairment, incl </t>
  </si>
  <si>
    <t xml:space="preserve">Settlement transactions </t>
  </si>
  <si>
    <t xml:space="preserve">Payroll projects  </t>
  </si>
  <si>
    <t xml:space="preserve">Cash transactions </t>
  </si>
  <si>
    <t xml:space="preserve">Cash collection </t>
  </si>
  <si>
    <t xml:space="preserve">Retail transaction </t>
  </si>
  <si>
    <t xml:space="preserve">Guarantees issued </t>
  </si>
  <si>
    <t xml:space="preserve">Currency transactions </t>
  </si>
  <si>
    <t xml:space="preserve">Total fee and commission income </t>
  </si>
  <si>
    <t xml:space="preserve">Settlements with currency and stock exchanges </t>
  </si>
  <si>
    <t xml:space="preserve">Total fee and commission expense </t>
  </si>
  <si>
    <t xml:space="preserve">Loans and advances to customers - legal entities </t>
  </si>
  <si>
    <t xml:space="preserve">Loans and advances to customers - individuals </t>
  </si>
  <si>
    <t xml:space="preserve">Correspondent accounts and due from other banks </t>
  </si>
  <si>
    <t xml:space="preserve">Investment securities avialable for sale </t>
  </si>
  <si>
    <t xml:space="preserve">Term deposits of individuals </t>
  </si>
  <si>
    <t xml:space="preserve">Term deposits of legal entities </t>
  </si>
  <si>
    <t xml:space="preserve">Current/settlement accounts of legal entities </t>
  </si>
  <si>
    <t xml:space="preserve">Total interest expense </t>
  </si>
  <si>
    <t xml:space="preserve">Staff costs </t>
  </si>
  <si>
    <t xml:space="preserve">Taxes other than income tax </t>
  </si>
  <si>
    <t xml:space="preserve">Depreciation of premises, equipment and amortisation of intangible assets </t>
  </si>
  <si>
    <t xml:space="preserve">Rent </t>
  </si>
  <si>
    <t xml:space="preserve">Legal entities </t>
  </si>
  <si>
    <t xml:space="preserve">Current accounts </t>
  </si>
  <si>
    <t xml:space="preserve">Personnel efficiency </t>
  </si>
  <si>
    <t xml:space="preserve">Dividends declared </t>
  </si>
  <si>
    <t xml:space="preserve">Interest received </t>
  </si>
  <si>
    <t xml:space="preserve">Interest paid </t>
  </si>
  <si>
    <t xml:space="preserve">Fees and commissions received </t>
  </si>
  <si>
    <t xml:space="preserve">Fees and commissions paid </t>
  </si>
  <si>
    <t xml:space="preserve">Changes in operating assets and liabilities </t>
  </si>
  <si>
    <t xml:space="preserve">Cash flows from investing activities </t>
  </si>
  <si>
    <t xml:space="preserve">Acquisition of investment securities available for sale </t>
  </si>
  <si>
    <t xml:space="preserve">Acquisition of investment securities held to maturity </t>
  </si>
  <si>
    <t xml:space="preserve">Proceeds from disposal of investment properties </t>
  </si>
  <si>
    <t xml:space="preserve">Dividend income received </t>
  </si>
  <si>
    <t xml:space="preserve">Effect of exchange rate changes on cash and cash equivalents </t>
  </si>
  <si>
    <t>Активы</t>
  </si>
  <si>
    <t>Денежные средства и их эквиваленты</t>
  </si>
  <si>
    <t>Торговые ценные бумаги</t>
  </si>
  <si>
    <t>Средства в других банках</t>
  </si>
  <si>
    <t>Кредиты и авансы клиентам</t>
  </si>
  <si>
    <t>Инвестиционные ценные бумаги, имеющиеся в наличии для продажи</t>
  </si>
  <si>
    <t>Инвестиционные ценные бумаги, удерживаемые до погашения</t>
  </si>
  <si>
    <t>Основные средства и нематериальные активы</t>
  </si>
  <si>
    <t>Прочие финансовые активы</t>
  </si>
  <si>
    <t>Прочие активы</t>
  </si>
  <si>
    <t>Итого активов</t>
  </si>
  <si>
    <t>Обязательства</t>
  </si>
  <si>
    <t>Средства других банков</t>
  </si>
  <si>
    <t>Выпущенные долговые ценные бумаги</t>
  </si>
  <si>
    <t>Субординированные депозиты</t>
  </si>
  <si>
    <t>Синдицированные кредиты</t>
  </si>
  <si>
    <t>Прочие финансовые обязательства</t>
  </si>
  <si>
    <t>Прочие обязательства</t>
  </si>
  <si>
    <t>Итого обязательств</t>
  </si>
  <si>
    <t>Собственные средства</t>
  </si>
  <si>
    <t>Эмиссионный доход</t>
  </si>
  <si>
    <t>Нераспределенная прибыль</t>
  </si>
  <si>
    <t>Балансовые показатели</t>
  </si>
  <si>
    <t>Отношение кредитов клиентов к депозитам клиентов</t>
  </si>
  <si>
    <t>Отношение средств других банков к средствам в других банках</t>
  </si>
  <si>
    <t>Доля розничных кредитов в сумме выданных кредитов</t>
  </si>
  <si>
    <t>Доля средств физических лиц в сумме клиентских средств</t>
  </si>
  <si>
    <t>Структура Баланса</t>
  </si>
  <si>
    <t>Производство</t>
  </si>
  <si>
    <t>Физические лица</t>
  </si>
  <si>
    <t>Администрации</t>
  </si>
  <si>
    <t>Торговля</t>
  </si>
  <si>
    <t>Финансовые организации</t>
  </si>
  <si>
    <t>Строительство</t>
  </si>
  <si>
    <t>Сельское хозяйство</t>
  </si>
  <si>
    <t>Транспорт</t>
  </si>
  <si>
    <t>Прочие кредиты</t>
  </si>
  <si>
    <t>Итого</t>
  </si>
  <si>
    <t>Резервы под обесценение кредитного портфеля</t>
  </si>
  <si>
    <t>Кредитный портфель по регионам</t>
  </si>
  <si>
    <t>Москва</t>
  </si>
  <si>
    <t>Прочие регионы</t>
  </si>
  <si>
    <t>Кредитный портфель по типу кредитов</t>
  </si>
  <si>
    <t>Корпоративные кредиты - крупные</t>
  </si>
  <si>
    <t>Ипотечные кредиты</t>
  </si>
  <si>
    <t>Другие кредиты физическим лицам</t>
  </si>
  <si>
    <t>Итого кредитов и авансов клиентам</t>
  </si>
  <si>
    <t>За вычетом резерва под обесценение</t>
  </si>
  <si>
    <t>Итого кредитов и авансов клиентам за вычетом резерва под обесценение</t>
  </si>
  <si>
    <t>Корпоративные кредиты</t>
  </si>
  <si>
    <t>Розничные кредиты</t>
  </si>
  <si>
    <t>Текущие и необесцененные</t>
  </si>
  <si>
    <t>в %</t>
  </si>
  <si>
    <t>Качество кредитов и концентрация</t>
  </si>
  <si>
    <t>Разбивка средств клиентов</t>
  </si>
  <si>
    <t>Средства корпоративных клиентов</t>
  </si>
  <si>
    <t>Средства частных клиентов</t>
  </si>
  <si>
    <t>До востребования и менее 1 месяца</t>
  </si>
  <si>
    <t>От  1 до 6 месяцев</t>
  </si>
  <si>
    <t>От 6 до 12 месяцев</t>
  </si>
  <si>
    <t>Свыше 12 месяцев</t>
  </si>
  <si>
    <t>Расчет достаточности капитала</t>
  </si>
  <si>
    <t>Капитал первого уровня</t>
  </si>
  <si>
    <t>Капитал второго уровня</t>
  </si>
  <si>
    <t>Итого капитала первого и второго уровня</t>
  </si>
  <si>
    <t>За вычетом:</t>
  </si>
  <si>
    <t>Первого и второго уровня</t>
  </si>
  <si>
    <t>Первого уровня</t>
  </si>
  <si>
    <t>Процентные расходы</t>
  </si>
  <si>
    <t>Чистые процентные доходы</t>
  </si>
  <si>
    <t>Резерв под обесценение кредитного портфеля</t>
  </si>
  <si>
    <t>Комиссионные доходы</t>
  </si>
  <si>
    <t>Комиссионные расходы</t>
  </si>
  <si>
    <t>Операционные доходы</t>
  </si>
  <si>
    <t>Административные и прочие операционные расходы</t>
  </si>
  <si>
    <t>Резерв под обесценение прочих активов</t>
  </si>
  <si>
    <t>Обыкновенные акции</t>
  </si>
  <si>
    <t xml:space="preserve">Показатель затрат к доходам до вычета резервов </t>
  </si>
  <si>
    <t>Чистый доход на сотрудника  в тыс.руб.</t>
  </si>
  <si>
    <t>Отношение налогов к прибыли до налогообложения</t>
  </si>
  <si>
    <t>Процентная доходность работающих активов после вычета резервов</t>
  </si>
  <si>
    <t>Стоимость ресурсов</t>
  </si>
  <si>
    <t>Процентный спред</t>
  </si>
  <si>
    <t>Отчисления в резерв</t>
  </si>
  <si>
    <t>Резерв под обесценение кредитного портфеля, в т.ч.</t>
  </si>
  <si>
    <t xml:space="preserve">Комиссии по расчетным операциям </t>
  </si>
  <si>
    <t>Комиссии по зарплатным проектам</t>
  </si>
  <si>
    <t>Комиссии по кассовым операциям</t>
  </si>
  <si>
    <t xml:space="preserve">Комиссии за инкассацию </t>
  </si>
  <si>
    <t>Комиссии по розничному бизнесу</t>
  </si>
  <si>
    <t>Комиссии по выданным гарантиям</t>
  </si>
  <si>
    <t>Комиссии по валютным операциям</t>
  </si>
  <si>
    <t>Прочее</t>
  </si>
  <si>
    <t>Итого комиссионных доходов</t>
  </si>
  <si>
    <t xml:space="preserve">Комиссии по кассовым операциям </t>
  </si>
  <si>
    <t>Комиссии по расчетным операциям</t>
  </si>
  <si>
    <t>Расчеты с валютными и фондовыми биржами</t>
  </si>
  <si>
    <t>Итого комиссионных расходов</t>
  </si>
  <si>
    <t>Чистые комиссионные доходы</t>
  </si>
  <si>
    <t>Процентные доходы</t>
  </si>
  <si>
    <t>Кредиты и авансы клиентам - юридическим лицам</t>
  </si>
  <si>
    <t>Кредиты и авансы клиентам - физическим лицам</t>
  </si>
  <si>
    <t>Корреспондентские счета и средства в других банках</t>
  </si>
  <si>
    <t>Итого процентных доходов</t>
  </si>
  <si>
    <t>Срочные вклады физических лиц</t>
  </si>
  <si>
    <t>Срочные депозиты юридических лиц</t>
  </si>
  <si>
    <t>Текущие/расчетные счета юридических лиц</t>
  </si>
  <si>
    <t>Итого процентных расходов</t>
  </si>
  <si>
    <t>Расходы на персонал</t>
  </si>
  <si>
    <t>Административные расходы</t>
  </si>
  <si>
    <t>Взносы в Агентство по страхованию вкладов</t>
  </si>
  <si>
    <t>Амортизация</t>
  </si>
  <si>
    <t>Аренда</t>
  </si>
  <si>
    <t>В связи с изменением методологии в 3кв, 4кв 2010 г. расходы на добровольное медицинское страхование сотрудников учитываются в статье "Расходы на персонал", а ранее входили в состав "Административных расходов"</t>
  </si>
  <si>
    <t>Юр.лица</t>
  </si>
  <si>
    <t>Физ.лица</t>
  </si>
  <si>
    <t>Срочные депозиты физических лиц</t>
  </si>
  <si>
    <t>Текущие/расчетные счета</t>
  </si>
  <si>
    <t>Эффективность персонала</t>
  </si>
  <si>
    <t>Отношение расходов на персонал к общим расходам</t>
  </si>
  <si>
    <t>Дивиденды объявленные</t>
  </si>
  <si>
    <t>Проценты полученные</t>
  </si>
  <si>
    <t>Проценты уплаченные</t>
  </si>
  <si>
    <t>Комиссии полученные</t>
  </si>
  <si>
    <t>Комиссии уплаченные</t>
  </si>
  <si>
    <t>Изменение в операционных активах и обязательствах</t>
  </si>
  <si>
    <t>Денежные средства от инвестиционной деятельности</t>
  </si>
  <si>
    <t>Приобретение инвестиционных ценных бумаг, удерживаемых до погашения</t>
  </si>
  <si>
    <t>Выручка от реализации долгосрочных активов, предназначенных для продажи</t>
  </si>
  <si>
    <t>Дивиденды полученные</t>
  </si>
  <si>
    <t>Влияние изменений обменного курса на денежные средства и их эквиваленты</t>
  </si>
  <si>
    <t>Денежные средства и их эквиваленты на конец отчетного периода</t>
  </si>
  <si>
    <t>Есть перевод?</t>
  </si>
  <si>
    <t>Резерв под обесценение кредитного портфеля на конец периода</t>
  </si>
  <si>
    <t>Сумма выданных кредитов на конец периода</t>
  </si>
  <si>
    <t>Отношение суммы резерва к выданным кредитам</t>
  </si>
  <si>
    <t>Анализ кредитов по кредитному качеству</t>
  </si>
  <si>
    <t>Резерв под обесценение по типу клиентов</t>
  </si>
  <si>
    <t>Изменение резерва под обесценение кредитного портфеля</t>
  </si>
  <si>
    <t>Резерв под обесценение кредитного портфеля на отчетную дату</t>
  </si>
  <si>
    <t>Staff, admin &amp; pension costs per average employee (thsd rub. Per month)</t>
  </si>
  <si>
    <t>Затраты (зарплата, отчисления и административные)  на сотрудника  в месяц,  в тыс. руб.</t>
  </si>
  <si>
    <t>Average headcount per quarter (people)</t>
  </si>
  <si>
    <t>Среднесписочная численность работников за квартал (чел.)</t>
  </si>
  <si>
    <t>Staff costs per average employee (MRUR)</t>
  </si>
  <si>
    <t>Расходы на одного одного сотрудника  в месяц, в тыс. руб.</t>
  </si>
  <si>
    <t>Корпоративные кредиты - средние и малые</t>
  </si>
  <si>
    <t xml:space="preserve">Денежные средства от операционной деятельности </t>
  </si>
  <si>
    <t>Share capital</t>
  </si>
  <si>
    <t>Share premium</t>
  </si>
  <si>
    <t xml:space="preserve">Assets </t>
  </si>
  <si>
    <t xml:space="preserve">Total assets </t>
  </si>
  <si>
    <t xml:space="preserve">Total liabilities </t>
  </si>
  <si>
    <t>Содержание</t>
  </si>
  <si>
    <t>Contents</t>
  </si>
  <si>
    <t>English</t>
  </si>
  <si>
    <t>Русский</t>
  </si>
  <si>
    <t>Total assets per employee (MRUR)</t>
  </si>
  <si>
    <t>Результат от выбытия кредитов по цессии</t>
  </si>
  <si>
    <t>Московская область</t>
  </si>
  <si>
    <t>Дивиденды уплаченные</t>
  </si>
  <si>
    <t>да</t>
  </si>
  <si>
    <t>Dividends paid</t>
  </si>
  <si>
    <t>Results from disposal of loans under cession agreements</t>
  </si>
  <si>
    <t>Branches and offices at the end of the period</t>
  </si>
  <si>
    <t xml:space="preserve">Breakdown of client funds </t>
  </si>
  <si>
    <t>Прочие заемные средства</t>
  </si>
  <si>
    <t>Other borrowed funds</t>
  </si>
  <si>
    <t>Other</t>
  </si>
  <si>
    <t>Недвижимость</t>
  </si>
  <si>
    <t>Real estate</t>
  </si>
  <si>
    <t>Баланс</t>
  </si>
  <si>
    <t xml:space="preserve">Proceeds from disposal of premises and equipment </t>
  </si>
  <si>
    <t xml:space="preserve">Выручка от реализации основных средств </t>
  </si>
  <si>
    <t>Provision for loan impairement for reporting date</t>
  </si>
  <si>
    <t>Revaluation reserve for investment securities available for sale</t>
  </si>
  <si>
    <t>Акционерный капитал</t>
  </si>
  <si>
    <t>ИТОГО АКТИВЫ</t>
  </si>
  <si>
    <t>ИТОГО ОБЯЗАТЕЛЬСТВА</t>
  </si>
  <si>
    <t>ИТОГО КАПИТАЛ</t>
  </si>
  <si>
    <t>ИТОГО ОБЯЗАТЕЛЬСТВА И КАПИТАЛ</t>
  </si>
  <si>
    <t>Отчет об изменениях в капитале</t>
  </si>
  <si>
    <t>Погашение фондирования от международного финансового института</t>
  </si>
  <si>
    <t>Repayment of funding from international financial institution</t>
  </si>
  <si>
    <t>Выбор языка</t>
  </si>
  <si>
    <t>Choose language</t>
  </si>
  <si>
    <t xml:space="preserve"> - large corporate clients</t>
  </si>
  <si>
    <t xml:space="preserve"> - SMEs</t>
  </si>
  <si>
    <t xml:space="preserve"> - крупные корпоративные клиенты</t>
  </si>
  <si>
    <t xml:space="preserve"> - малые и средние</t>
  </si>
  <si>
    <t xml:space="preserve"> - Инвестиций в неконсолидированные дочерние компании</t>
  </si>
  <si>
    <t xml:space="preserve">    розничный портфель</t>
  </si>
  <si>
    <t>Квартальные данные, млн руб.</t>
  </si>
  <si>
    <t>Quarterly data, Rub mln</t>
  </si>
  <si>
    <t>Y-t-D data, Rub mln</t>
  </si>
  <si>
    <t>Данные с начала года, млн руб.</t>
  </si>
  <si>
    <t>Квартальные данные, %</t>
  </si>
  <si>
    <t>Quarterly data, %</t>
  </si>
  <si>
    <t>Y-t-D data, %</t>
  </si>
  <si>
    <t>Данные с начала года, %</t>
  </si>
  <si>
    <t>Выручка от реализации инвестиционного имущества</t>
  </si>
  <si>
    <t>Отношение отчислений в резерв к среднему кредитному портфелю (Стоимость риска)</t>
  </si>
  <si>
    <t>Provision charge/ Avg Loan Portfolio (Cost of risk)</t>
  </si>
  <si>
    <t>Фонд переоценки инвестиционных ценных бумаг, имеющихся в наличии для продажи</t>
  </si>
  <si>
    <t>Приобретение инвестиционных ценных бумаг, имеющихся в наличии для продажи</t>
  </si>
  <si>
    <t>Отчет о прибыли или убытке и прочем совокупном доходе</t>
  </si>
  <si>
    <t>Итого активов на сотрудника, млн руб.</t>
  </si>
  <si>
    <t>Avg Assets *</t>
  </si>
  <si>
    <t>Avg Equity *</t>
  </si>
  <si>
    <t>Average net interest earning assets *</t>
  </si>
  <si>
    <t>Average interest bearing liabilities *</t>
  </si>
  <si>
    <t>Средние активы *</t>
  </si>
  <si>
    <t>Средние собственные средства *</t>
  </si>
  <si>
    <t>Средние активы, приносящие процентный доход после вычета резервов *</t>
  </si>
  <si>
    <t>Средний кредитный портфель до резервов *</t>
  </si>
  <si>
    <t>Средние платные пассивы *</t>
  </si>
  <si>
    <t>* Cumulative figures</t>
  </si>
  <si>
    <t>* Кумулятивные показатели</t>
  </si>
  <si>
    <t>Basel I</t>
  </si>
  <si>
    <t>Базель I</t>
  </si>
  <si>
    <t>Share capital structure</t>
  </si>
  <si>
    <t>Структура акционерного капитала</t>
  </si>
  <si>
    <t>Ratings</t>
  </si>
  <si>
    <t>Рейтинги</t>
  </si>
  <si>
    <t>Standard &amp; Poor’s Rating Agency</t>
  </si>
  <si>
    <t>Рейтинговое агентство Standard &amp; Poor’s</t>
  </si>
  <si>
    <t>Moody’s Investors Service Rating Agency</t>
  </si>
  <si>
    <t>Рейтинговое агентство Moody’s Investors Service</t>
  </si>
  <si>
    <t>Rating Agency</t>
  </si>
  <si>
    <t>Рейтинговое агентство</t>
  </si>
  <si>
    <t>Rating Type</t>
  </si>
  <si>
    <t>Тип рейтинга</t>
  </si>
  <si>
    <t>Rating</t>
  </si>
  <si>
    <t>Рейтинг</t>
  </si>
  <si>
    <t>Прогноз</t>
  </si>
  <si>
    <t>Дата последнего подтверждения</t>
  </si>
  <si>
    <t>Date of affirmation</t>
  </si>
  <si>
    <t>Дата присвоения</t>
  </si>
  <si>
    <t>Long-term Counterparty credit rating</t>
  </si>
  <si>
    <t>Долгосрочный кредитный рейтинг контрагента</t>
  </si>
  <si>
    <t>Short-term Counterparty credit rating</t>
  </si>
  <si>
    <t>Краткосрочный кредитный рейтинг контрагента</t>
  </si>
  <si>
    <t>Russian national scale rating</t>
  </si>
  <si>
    <t>Рейтинг по национальной шкале</t>
  </si>
  <si>
    <t>Foreing Currency Deposit Ratings</t>
  </si>
  <si>
    <t>Рейтинг банковских депозитов в иностранной валюте</t>
  </si>
  <si>
    <t>Local Currency Deposit Ratings</t>
  </si>
  <si>
    <t>Рейтинг банковских депозитов в местной валюте</t>
  </si>
  <si>
    <t>Bank Financial Strength</t>
  </si>
  <si>
    <t>Финансовой устойчивости</t>
  </si>
  <si>
    <t>Long-term Russian national scale credit rating</t>
  </si>
  <si>
    <t>Долгосрочный кредитный рейтинг по национальной шкале</t>
  </si>
  <si>
    <t>Moody’s Interfax Rating Agency</t>
  </si>
  <si>
    <t>Рейтинговое Агентство Мудис Интерфакс</t>
  </si>
  <si>
    <t>Stable</t>
  </si>
  <si>
    <t>Стабильный</t>
  </si>
  <si>
    <t xml:space="preserve">      корпоративные  </t>
  </si>
  <si>
    <t xml:space="preserve">      розничные</t>
  </si>
  <si>
    <t>Ипотека</t>
  </si>
  <si>
    <t>Карты</t>
  </si>
  <si>
    <t>Автокредиты</t>
  </si>
  <si>
    <t>Потребительские кредиты</t>
  </si>
  <si>
    <t>Активы, взвешенные с учетом риска (в соответствии с инструкциями ЦБ РФ/Базельским соглашением I)</t>
  </si>
  <si>
    <t>Net interest margin *</t>
  </si>
  <si>
    <t>Чистая процентная маржа *</t>
  </si>
  <si>
    <t>Net interest margin **</t>
  </si>
  <si>
    <t>Чистая процентная маржа **</t>
  </si>
  <si>
    <t>Yields on loans **</t>
  </si>
  <si>
    <t>Доходность кредитов за квартал **</t>
  </si>
  <si>
    <t>Ценные бумаги, переданные без прекращения признания</t>
  </si>
  <si>
    <t>Средства государственных и муниципальных учреждений</t>
  </si>
  <si>
    <t>Обязательные резервы на счетах в Банке России</t>
  </si>
  <si>
    <t>Mandatory cash balances with the Bank of Russia</t>
  </si>
  <si>
    <t>Investment securities pledged under repurchase agreements</t>
  </si>
  <si>
    <t xml:space="preserve">      отношение резерва по корпоративным кредитам к выданным корпоративным кредитам</t>
  </si>
  <si>
    <t xml:space="preserve">      отношение резерва по розничным кредитам к выданным розничным кредитам</t>
  </si>
  <si>
    <t>Итого Капитал</t>
  </si>
  <si>
    <t>Risk weighted assets (according to Bank of Russia instructions / Basel I)</t>
  </si>
  <si>
    <t>Statutory Capital ratio, %</t>
  </si>
  <si>
    <t>Коэффициент достаточности капитала, %</t>
  </si>
  <si>
    <t>Total tier 1 and tier 2 Capital</t>
  </si>
  <si>
    <t>Total Capital</t>
  </si>
  <si>
    <t>Statement of Financial position</t>
  </si>
  <si>
    <t>Показатели Отчета о прибыли или убытке и прочем совокупном доходе</t>
  </si>
  <si>
    <t xml:space="preserve">Statement of Profit or Loss and Other Comprehensive Income </t>
  </si>
  <si>
    <t xml:space="preserve">Provisions for loan impairment / Total gross loans </t>
  </si>
  <si>
    <t xml:space="preserve">Customer gross loans / Customer deposits </t>
  </si>
  <si>
    <t xml:space="preserve">Due from banks / Due to banks </t>
  </si>
  <si>
    <t xml:space="preserve">Individuals as % of Gross loans </t>
  </si>
  <si>
    <t xml:space="preserve">Individuals as % of Customer deposits </t>
  </si>
  <si>
    <t>Avg gross Loans *</t>
  </si>
  <si>
    <t>Коэффициент "Кредиты / депозиты"</t>
  </si>
  <si>
    <t>Tier 1 Equity</t>
  </si>
  <si>
    <t>Tier 2 Equity</t>
  </si>
  <si>
    <t>Negative</t>
  </si>
  <si>
    <t>Негативный</t>
  </si>
  <si>
    <t>Total interest income</t>
  </si>
  <si>
    <t>Fee and commission expense</t>
  </si>
  <si>
    <t>Interest expense</t>
  </si>
  <si>
    <t>Administrative expense</t>
  </si>
  <si>
    <t>Income and expense</t>
  </si>
  <si>
    <t>*Due to change of methodology in Q3, Q4 2010, expense related to voluntary health insurance was accounted in Personnel expense, while earlier it was included into Administrative expense</t>
  </si>
  <si>
    <t>Staff costs to Total expense</t>
  </si>
  <si>
    <t>Отчисления в резерв под обесценение кредитного портфеля в течение отчетного периода</t>
  </si>
  <si>
    <t xml:space="preserve">Provision for loan impairment during the period </t>
  </si>
  <si>
    <t xml:space="preserve">Кредиты и авансы клиентам, списанные в течение отчетного периода </t>
  </si>
  <si>
    <t xml:space="preserve">Loans written off during the period </t>
  </si>
  <si>
    <t>Остаток на 31 декабря 2014 года</t>
  </si>
  <si>
    <t xml:space="preserve">Statement of Profit or Loss and Other Comprehensive Income ratios </t>
  </si>
  <si>
    <t>Средний корпоративный кредитный портфель до резервов *</t>
  </si>
  <si>
    <t>Средний розничный кредитный портфель до резервов *</t>
  </si>
  <si>
    <t>Avg gross Retail Loans *</t>
  </si>
  <si>
    <t>Avg gross Corporate Loans *</t>
  </si>
  <si>
    <t>Итого совокупный доход за 2015 год</t>
  </si>
  <si>
    <t>* The rating agency stopped affirming Bank Financial Strength rating and introduced Counterparty risk assessment on March 20, 2015 when its new methodology came into force.</t>
  </si>
  <si>
    <t>* Рейтинговое агентство прекратило присваивать рейтинг Финансовой устойчивости и начало присваивать Оценку риска контрагента с 20 марта 2015 г., когда вступила в силу новая методология оценки эмитентов.</t>
  </si>
  <si>
    <t>Counterparty risk assessment*</t>
  </si>
  <si>
    <t>Оценка риска контрагента*</t>
  </si>
  <si>
    <t>Налог на прибыль</t>
  </si>
  <si>
    <t>Average cost of funds ****</t>
  </si>
  <si>
    <t>Средняя стоимость заемных средств за квартал ****</t>
  </si>
  <si>
    <t>Yields on securities ***</t>
  </si>
  <si>
    <t>Доходность по ценным бумагам за квартал ***</t>
  </si>
  <si>
    <t>*** Yields on securities are calculated as: Quarterly interest income from securities / Avg securities portfolio * 4</t>
  </si>
  <si>
    <t>*** Доходность по ценным бумагам за квартал считается как: Процентные доходы от ценных бумаг за квартал / Средний портфель ценных бумаг * 4</t>
  </si>
  <si>
    <t xml:space="preserve">Balance at December 31, 2014 </t>
  </si>
  <si>
    <t xml:space="preserve">Avg Securities * </t>
  </si>
  <si>
    <t>Фонд переоценки основных средств</t>
  </si>
  <si>
    <t>Резерв под обязательства некредитного характера</t>
  </si>
  <si>
    <t>Provision for losses on non-credit related commitments</t>
  </si>
  <si>
    <t>Gains less losses on revaluation of investment properties</t>
  </si>
  <si>
    <t>Переоценка по справедливой стоимости инвестиционного имущества</t>
  </si>
  <si>
    <t xml:space="preserve">Total comprehensive income for 2015 </t>
  </si>
  <si>
    <t>Расходы, возникающие при первоначальном признании активов по ставкам ниже рыночных</t>
  </si>
  <si>
    <t>Total comprehensive income for reporting period</t>
  </si>
  <si>
    <t xml:space="preserve">Итого совокупный доход за отчетный период </t>
  </si>
  <si>
    <t xml:space="preserve">Losses on origination of assets at rates below market </t>
  </si>
  <si>
    <t>Outlook</t>
  </si>
  <si>
    <t>Date of the latest confirmation</t>
  </si>
  <si>
    <t>Текущие счета и депозиты до востребования</t>
  </si>
  <si>
    <t xml:space="preserve">         корпоративные клиенты</t>
  </si>
  <si>
    <t xml:space="preserve">         физические лица</t>
  </si>
  <si>
    <t>Срочные депозиты</t>
  </si>
  <si>
    <t>Current accounts and demand deposits</t>
  </si>
  <si>
    <t>Term deposits</t>
  </si>
  <si>
    <t xml:space="preserve">       Individuals</t>
  </si>
  <si>
    <t xml:space="preserve">       Сorporate entities</t>
  </si>
  <si>
    <t>Выбытие зданий – эффект на нераспределенную прибыль</t>
  </si>
  <si>
    <t>Обязательные резервы в Банке России</t>
  </si>
  <si>
    <t>Due to other banks</t>
  </si>
  <si>
    <t>Disposal of buildings – effect on retained earnings</t>
  </si>
  <si>
    <t xml:space="preserve">      в т.ч. сумма проблемных кредитов (непросроченные, просрочка 1+)</t>
  </si>
  <si>
    <t xml:space="preserve">    including problem loans (not pust due, 1+)</t>
  </si>
  <si>
    <t>Разбивка средств розничных клиентов по договорным срокам погашения</t>
  </si>
  <si>
    <t xml:space="preserve">Breakdown of retail funds by contractual maturity </t>
  </si>
  <si>
    <t>Удельный вес неработающих кредитов (NPL 90+) в общей сумме кредитов</t>
  </si>
  <si>
    <t xml:space="preserve">Non performing loans 90+ as a percent of the total portfolio, % </t>
  </si>
  <si>
    <t xml:space="preserve">      в т.ч. сумма неработающих кредитов (NPL 90+)</t>
  </si>
  <si>
    <t xml:space="preserve">    including non performing loans (NPL 90+)</t>
  </si>
  <si>
    <t>Obligation on securities buy back</t>
  </si>
  <si>
    <t>Обязательства по выкупу ценных бумаг</t>
  </si>
  <si>
    <t>Расходы на содержание персонала уплаченные</t>
  </si>
  <si>
    <t>Staff costs paid</t>
  </si>
  <si>
    <t>Отношение 20 крупнейших заемщиков или групп взаимосвязанных заемщиков к сумме выданных кредитов*</t>
  </si>
  <si>
    <t>*Отношение 10 крупнейших заемщиков к сумме выданных кредитов (до 01.07.2016)</t>
  </si>
  <si>
    <t>*Loans to 10 largest borrowers / Total gross loans (before 01.07.2016)</t>
  </si>
  <si>
    <t>Loans to 20 largest borrowers or groups of related borrowers / Total gross loans *</t>
  </si>
  <si>
    <t>Отношение суммы резерва к неработающим кредитам (NPL 90+)</t>
  </si>
  <si>
    <t xml:space="preserve">Provisions as a percent of non performing loans (NPL 90+), % </t>
  </si>
  <si>
    <t xml:space="preserve">NPL 90+ ratio </t>
  </si>
  <si>
    <t xml:space="preserve">NPL 90+ Coverage </t>
  </si>
  <si>
    <t>Удельный вес неработающих кредитов (NPL 90+)</t>
  </si>
  <si>
    <t>Покрытие неработающих кредитов (NPL 90+)</t>
  </si>
  <si>
    <t>Обесцененные, с просрочкой платежа менее 90 дней</t>
  </si>
  <si>
    <t xml:space="preserve">Impaired less than 90 days overdue </t>
  </si>
  <si>
    <t xml:space="preserve">Impaired loans more than 90 days overdue </t>
  </si>
  <si>
    <t>Обесцененные, с просрочкой платежа более 90 дней</t>
  </si>
  <si>
    <t>Комиссия за привлеченные средства</t>
  </si>
  <si>
    <t>Остаток на 31 декабря 2016 года</t>
  </si>
  <si>
    <t xml:space="preserve">Corporate clients </t>
  </si>
  <si>
    <t>Корпоративные клиенты</t>
  </si>
  <si>
    <t>Сosts relating to premises, equipment</t>
  </si>
  <si>
    <t>Расходы на содержание основных средств</t>
  </si>
  <si>
    <t>Налоги, за исключением налога на прибыль</t>
  </si>
  <si>
    <t>Информационные и телекоммуникационные услуги</t>
  </si>
  <si>
    <r>
      <t xml:space="preserve">Other </t>
    </r>
    <r>
      <rPr>
        <sz val="10"/>
        <rFont val="Arial"/>
        <family val="2"/>
        <charset val="204"/>
      </rPr>
      <t/>
    </r>
  </si>
  <si>
    <t>Охрана</t>
  </si>
  <si>
    <t>Рекламные и маркетинговые услуги</t>
  </si>
  <si>
    <t>Small and medium entities</t>
  </si>
  <si>
    <t>Кредиты предприятиям среднего и малого бизнеса</t>
  </si>
  <si>
    <t>Корпоративные кредиты - КБ</t>
  </si>
  <si>
    <t>Корпоративные кредиты - СМБ</t>
  </si>
  <si>
    <t xml:space="preserve">Corporate loans - сorporate clients </t>
  </si>
  <si>
    <t>Corporate loans - small and medium entities</t>
  </si>
  <si>
    <t>Просроченные, но необесцененные кредиты, оценка обесценения которых производится на коллективной основе</t>
  </si>
  <si>
    <t>Overdue but not impaired loans assessed collectively</t>
  </si>
  <si>
    <t xml:space="preserve">Fee for attracted funds </t>
  </si>
  <si>
    <t>Advertising and marketing services</t>
  </si>
  <si>
    <t>Security</t>
  </si>
  <si>
    <t>Information and telecommunication services</t>
  </si>
  <si>
    <t>Погашения выпущенных облигаций, обеспеченных закладными</t>
  </si>
  <si>
    <t>Векселя и депозитные сертификаты</t>
  </si>
  <si>
    <t>Promissory notes and deposit certificates</t>
  </si>
  <si>
    <t>Reversal of losses / (losses) from revaluation of premises</t>
  </si>
  <si>
    <t>Восстановление/(убыток) от переоценки основных средств</t>
  </si>
  <si>
    <t>Телекоммуникации, связь и средства массовой информации</t>
  </si>
  <si>
    <t>Telecommunications and MM</t>
  </si>
  <si>
    <t>Provision for loan impairment at January 1, 2017</t>
  </si>
  <si>
    <t>Резерв под обесценение кредитного портфеля на 1 января 2017 года</t>
  </si>
  <si>
    <t>Кредиты юридическим лицам</t>
  </si>
  <si>
    <t>Loans to legal entities</t>
  </si>
  <si>
    <t xml:space="preserve">    кредиты юридическим лицам</t>
  </si>
  <si>
    <t xml:space="preserve">    loans to legal entities</t>
  </si>
  <si>
    <t>Корреспондентские счета и средства других банков</t>
  </si>
  <si>
    <t>Correspondent accounts and due to other banks</t>
  </si>
  <si>
    <t xml:space="preserve">Balance at December 31, 2016 </t>
  </si>
  <si>
    <t xml:space="preserve">Total comprehensive income for 2016 </t>
  </si>
  <si>
    <t>Итого совокупный доход за 2016 год</t>
  </si>
  <si>
    <t>Административные и общехозяйственные расходы уплаченные</t>
  </si>
  <si>
    <t>Administrative and general expenses paid</t>
  </si>
  <si>
    <t>Administrative and general expenses</t>
  </si>
  <si>
    <t xml:space="preserve">Административные и общехозяйственные расходы </t>
  </si>
  <si>
    <t>The rating agency stopped affirming national scale ratings on April 7, 2017 due to the changes in the national legislation</t>
  </si>
  <si>
    <t>Рейтинговое агентство прекратило присваивать рейтинги по национальной шкале с 7 апреля 2017 г. в связи с изменениями в национальном законодательстве</t>
  </si>
  <si>
    <t>Денежные средства, полученные от операционной деятельности до изменений в операционных активах и обязательствах</t>
  </si>
  <si>
    <t xml:space="preserve">Cash flows from operating activities before changes in operating assets and liabilities </t>
  </si>
  <si>
    <t>Приобретение основных средств и нематериальных активов</t>
  </si>
  <si>
    <t>Acquisition of premises and equipment and intangible assets</t>
  </si>
  <si>
    <t>Выпуск облигаций, обеспеченных закладными</t>
  </si>
  <si>
    <t>Mortgage backed bonds in issue</t>
  </si>
  <si>
    <t>Bank cards settlements</t>
  </si>
  <si>
    <t>Расчеты банковскими картами</t>
  </si>
  <si>
    <t>Balance at  December 31, 2017</t>
  </si>
  <si>
    <t>Balance at  December 31, 2016</t>
  </si>
  <si>
    <t>Остаток на 31 декабря 2017 года</t>
  </si>
  <si>
    <t>Cash flows from financing activities</t>
  </si>
  <si>
    <t>Non-current assets held for sale</t>
  </si>
  <si>
    <t>Долгосрочные активы, предназначенные для продажи</t>
  </si>
  <si>
    <t>Other comprehensive income</t>
  </si>
  <si>
    <t>Прочий совокупный доход</t>
  </si>
  <si>
    <t>Items that may be reclassified subsequently to profit or loss</t>
  </si>
  <si>
    <t>Статьи, которые впоследствии могут быть переклассифицированы в состав прибыли или убытка</t>
  </si>
  <si>
    <t>Items that will not be reclassified to profit or loss</t>
  </si>
  <si>
    <t>Статьи, которые впоследствии не могут быть переклассифицированы в состав прибыли или убытка</t>
  </si>
  <si>
    <t>Available for sale investments:</t>
  </si>
  <si>
    <t xml:space="preserve"> - Change in revaluation reserve</t>
  </si>
  <si>
    <t>Other comprehensive income for the year</t>
  </si>
  <si>
    <t>Прочий совокупный доход за год</t>
  </si>
  <si>
    <t>Profit for the year</t>
  </si>
  <si>
    <t>Прибыль за год</t>
  </si>
  <si>
    <t>Investment property</t>
  </si>
  <si>
    <t>Инвестиционное имущество</t>
  </si>
  <si>
    <t>Gains less losses reclassified to profit or loss as a result of disposals</t>
  </si>
  <si>
    <t xml:space="preserve">Доходы за вычетом расходов, перенесенные в прибыль или убыток в результате выбытия </t>
  </si>
  <si>
    <t>Losses on initial recognition of assets at rates below market</t>
  </si>
  <si>
    <t xml:space="preserve"> - Gains less losses reclassified to profit or loss as a result of disposals</t>
  </si>
  <si>
    <t xml:space="preserve"> - Доходы за вычетом расходов, перенесенные в прибыль или убыток в результате выбытия</t>
  </si>
  <si>
    <t xml:space="preserve"> - Income tax related to revaluation of premises</t>
  </si>
  <si>
    <t xml:space="preserve"> - Налог на прибыль, относящийся к переоценке основных средств</t>
  </si>
  <si>
    <t>Proceeds from issued mortgage backed bonds</t>
  </si>
  <si>
    <t>Поступления от выпущенных облигаций, обеспеченных закладными</t>
  </si>
  <si>
    <t>Redemption of issued mortgage backed bonds</t>
  </si>
  <si>
    <t>Итого совокупный расход / (доход) за год</t>
  </si>
  <si>
    <t>Total comprehensive loss / (income)   for the year</t>
  </si>
  <si>
    <t>Прочий совокупный (расход) / доход за год</t>
  </si>
  <si>
    <t>Итого совокупный доход за год</t>
  </si>
  <si>
    <t>Net loss from impairment of investment securities available for sale</t>
  </si>
  <si>
    <t>Чистый убыток от обесценения инвестиционных ценных бумаг, имеющихся в наличии для продажи</t>
  </si>
  <si>
    <t>Gains less losses reclassified to profit or loss as a result of disposals of investment securities available for sale</t>
  </si>
  <si>
    <t>Доходы за вычетом расходов, перенесенные в прибыль или убыток в результате выбытия инвестиционных ценных бумаг, имеющихся в наличии для продажи</t>
  </si>
  <si>
    <t>Чистый убыток от обесценения прочих активов</t>
  </si>
  <si>
    <t>Net loss from impairment of other assets</t>
  </si>
  <si>
    <t>Базовая и разводненная прибыль/(убыток) на обыкновенную акцию 
(в российских рублях за акцию)</t>
  </si>
  <si>
    <t>Earnings/(loss) per common share  (expressed in RR per share)</t>
  </si>
  <si>
    <t>Инвестиции, имеющиеся в наличии для продажи:</t>
  </si>
  <si>
    <t>(Убыток от) / восстановление переоценки основных средств</t>
  </si>
  <si>
    <t xml:space="preserve"> (Losses) / reversal of losses from revaluation of premises</t>
  </si>
  <si>
    <t>Основные средства:</t>
  </si>
  <si>
    <t>Premises and equipment:</t>
  </si>
  <si>
    <t xml:space="preserve"> - доходы за вычетом расходов, перенесенные в прибыль или убыток в результате выбытия</t>
  </si>
  <si>
    <t xml:space="preserve"> - изменение фонда переоценки</t>
  </si>
  <si>
    <t xml:space="preserve"> - налог на прибыль, относящийся к переоценке основных средств</t>
  </si>
  <si>
    <t>Contributions to the State Deposit Insurance Agency</t>
  </si>
  <si>
    <t>Provision for non-credit related commitments</t>
  </si>
  <si>
    <t>Income tax</t>
  </si>
  <si>
    <t>Other comprehensive (loss) / income for the year</t>
  </si>
  <si>
    <t>Взносы в Агентство по страхованию вкладов уплаченные</t>
  </si>
  <si>
    <t>Денежные средства и их эквиваленты на конец года</t>
  </si>
  <si>
    <t>Cash and cash equivalents at the end of the year</t>
  </si>
  <si>
    <t>Contributions to the State Deposit Insurance Agency paid</t>
  </si>
  <si>
    <t>Чистые денежные средства использованные в инвестиционной деятельности</t>
  </si>
  <si>
    <t>Net cash used in investing activities</t>
  </si>
  <si>
    <t>в миллионах российских рублей</t>
  </si>
  <si>
    <t>Инвестиции в ценные бумаги</t>
  </si>
  <si>
    <t xml:space="preserve">Investments in securities </t>
  </si>
  <si>
    <t>Резерв под обязательства кредитного характера</t>
  </si>
  <si>
    <t>Фонд переоценки ценных бумаг, оцениваемых по справедливой стоимости через прочий совокупный доход</t>
  </si>
  <si>
    <t>Revaluation reserve for securities at FVOCI</t>
  </si>
  <si>
    <t>Gains less losses from trading in foreign currencies</t>
  </si>
  <si>
    <t>Доходы за вычетом расходов по операциям с иностранной валютой</t>
  </si>
  <si>
    <t>Инвестиции в ценные бумаги, оцениваемые по справедливой стоимости через прочий совокупный доход:</t>
  </si>
  <si>
    <t>Итого совокупный (убыток) / доход</t>
  </si>
  <si>
    <t>Total comprehensive (loss)/income</t>
  </si>
  <si>
    <t>Влияние первого применения МСФО (IFRS) 9</t>
  </si>
  <si>
    <t>Реклассификация финансовых инструментов</t>
  </si>
  <si>
    <t>Скорректированный остаток на 1 января 2018 года</t>
  </si>
  <si>
    <t>Influence of IFRS 9 first implementation</t>
  </si>
  <si>
    <t>Reclassification of financial instruments</t>
  </si>
  <si>
    <t>Adjusted balance at 1 January 2018</t>
  </si>
  <si>
    <t>Чистые доходы, полученные по операциям с иностранной валютой</t>
  </si>
  <si>
    <t xml:space="preserve">Net income received from trading in foreign currencies </t>
  </si>
  <si>
    <t>Income tax paid</t>
  </si>
  <si>
    <t>Уплаченный налог на прибыль</t>
  </si>
  <si>
    <t>Приобретение инвестиций в ценные бумаги</t>
  </si>
  <si>
    <t>Acquisition of investments in securities</t>
  </si>
  <si>
    <t>Proceeds from disposal of investment in securities</t>
  </si>
  <si>
    <t>Выручка от реализации инвестиций в ценные бумаги</t>
  </si>
  <si>
    <t>Денежные средства от финансовой деятельности</t>
  </si>
  <si>
    <t>Получение прочих заемных средств</t>
  </si>
  <si>
    <t>Receipt of other borrowed funds</t>
  </si>
  <si>
    <t>Процентные доходы, рассчитанные по методу эффективной процентной ставки</t>
  </si>
  <si>
    <t>Interest income calculated using the effective interest method</t>
  </si>
  <si>
    <t>Premises and equipment and intangible assets</t>
  </si>
  <si>
    <t>Deferred income tax asset</t>
  </si>
  <si>
    <t>Прочие процентные доходы</t>
  </si>
  <si>
    <t>Other interest income</t>
  </si>
  <si>
    <t>(Losses less gains)/gains less losses from trading securities</t>
  </si>
  <si>
    <t>Losses less gains from disposals of investment securities</t>
  </si>
  <si>
    <t>Расходы за вычетом доходов от реализации инвестиций в ценные бумаги</t>
  </si>
  <si>
    <t>Other operating income /(expenses)</t>
  </si>
  <si>
    <t xml:space="preserve">Administrative and general expenses </t>
  </si>
  <si>
    <t>Разовый  взнос в  Агентство по страхованию вкладов</t>
  </si>
  <si>
    <t>One-off contribution to the State Deposit Insurance Agency</t>
  </si>
  <si>
    <t>- Gains less losses</t>
  </si>
  <si>
    <t>- Доходы за вычетом расходов</t>
  </si>
  <si>
    <t xml:space="preserve"> - Income tax related to revaluation of premises and equipment</t>
  </si>
  <si>
    <t>Investments in securities measured at fair value through other comprehensive income:</t>
  </si>
  <si>
    <t>(Расходы за вычетом доходов)/доходы за вычетом расходов по операциям с торговыми ценными бумагами</t>
  </si>
  <si>
    <t xml:space="preserve">Revaluation reserve for available for sale investment securities </t>
  </si>
  <si>
    <t>Revaluation reserve for premises</t>
  </si>
  <si>
    <t>(Чистое снижение)/чистый прирост операционных обязательств</t>
  </si>
  <si>
    <t xml:space="preserve">Net (decrease)/increase in operating liabilities </t>
  </si>
  <si>
    <t>Net cash from investing activities</t>
  </si>
  <si>
    <t>Чистые денежные средства, полученные от инвестиционной деятельности</t>
  </si>
  <si>
    <t>Repayment of mortage backed bonds in issue</t>
  </si>
  <si>
    <t xml:space="preserve">Cash and cash equivalents at the end of the reporting period </t>
  </si>
  <si>
    <t>Отложенные налоговые активы</t>
  </si>
  <si>
    <t xml:space="preserve">Proceeds from disposal of non-current assets held for sale </t>
  </si>
  <si>
    <t>Убыток за девять месяцев, закончившихся 30 сентября 2018 года</t>
  </si>
  <si>
    <t>Loss for the Nine-month period ended 30 September 2018</t>
  </si>
  <si>
    <t>(УБЫТОК)/ПРИБЫЛЬ ЗА ОТЧЕТНЫЙ ПЕРИОД</t>
  </si>
  <si>
    <t>(LOSS)/PROFIT FOR THE REPORTING PERIOD</t>
  </si>
  <si>
    <t>ИТОГО СОВОКУПНЫЙ (УБЫТОК)/ДОХОД ЗА ОТЧЕТНЫЙ ПЕРИОД</t>
  </si>
  <si>
    <t>TOTAL COMPREHENSIVE (LOSS)/INCOME FOR THE REPORTING PERIOD</t>
  </si>
  <si>
    <t>Basic and diluted earnings/(loss) per ordinary share 
(expressed in RR per share)</t>
  </si>
  <si>
    <t>Чистое снижение /(чистый прирост) операционных активов</t>
  </si>
  <si>
    <t>EQUITY</t>
  </si>
  <si>
    <t>Provision for credit related commitments</t>
  </si>
  <si>
    <r>
      <t xml:space="preserve">Средний портфель ценных бумаг * </t>
    </r>
    <r>
      <rPr>
        <i/>
        <sz val="9"/>
        <rFont val="Arial"/>
        <family val="2"/>
        <charset val="204"/>
      </rPr>
      <t>(за квартал)</t>
    </r>
  </si>
  <si>
    <t>Net interest margin  ** (on average IEA - due from banks, securities, net loan portfolio)</t>
  </si>
  <si>
    <t>Чистая процентная маржа**  (к активам, приносящим процентный доход - средствам других банков, ценным бумагам, чистому кредитному портфелю)</t>
  </si>
  <si>
    <t>(Расходы за вычетом доходов)/доходы за вычетом расходов от переоценки иностранной валюты</t>
  </si>
  <si>
    <t>Foreign exchange translation (losses less gains)/gains less losses</t>
  </si>
  <si>
    <t>Убыток от переоценки основных средств</t>
  </si>
  <si>
    <t>Losses from revaluation of premises</t>
  </si>
  <si>
    <t>- расходы за вычетом доходов</t>
  </si>
  <si>
    <t>- losses less gains</t>
  </si>
  <si>
    <t>Чистый убыток от переоценки инвестиционного имущества</t>
  </si>
  <si>
    <t>Net loss from revaluation of investment property</t>
  </si>
  <si>
    <t>(УБЫТОК)/ПРИБЫЛЬ ЗА ГОД</t>
  </si>
  <si>
    <t>(LOSS)/PROFIT FOR THE YEAR</t>
  </si>
  <si>
    <t>Other comprehensive(loss)/income for the year</t>
  </si>
  <si>
    <t>Прочий совокупный (убыток)/доход за год</t>
  </si>
  <si>
    <t>ИТОГО СОВОКУПНЫЙ (УБЫТОК)/ДОХОД ЗА ГОД</t>
  </si>
  <si>
    <t>TOTAL COMPREHENSIVE (LOSS)/INCOME FOR THE YEAR</t>
  </si>
  <si>
    <t>Базовый и разводненный (убыток)/прибыль на обыкновенную акцию (в российских рублях за акцию)</t>
  </si>
  <si>
    <t>Basic and diluted earnings per ordinary share (expressed in RR per share)</t>
  </si>
  <si>
    <t xml:space="preserve">Other comprehensive income </t>
  </si>
  <si>
    <t>Убыток за год</t>
  </si>
  <si>
    <t>Loss for the year</t>
  </si>
  <si>
    <t>Итого совокупный убыток</t>
  </si>
  <si>
    <t>Total comprehensive loss</t>
  </si>
  <si>
    <t>Repayment of subborditated deposit</t>
  </si>
  <si>
    <t>ИТОГО</t>
  </si>
  <si>
    <t>TOTAL</t>
  </si>
  <si>
    <t xml:space="preserve"> -изменение фонда переоценки</t>
  </si>
  <si>
    <t xml:space="preserve"> - change in revaluation reserve</t>
  </si>
  <si>
    <t xml:space="preserve"> -income tax related to revaluation of investment securities available for sale</t>
  </si>
  <si>
    <t xml:space="preserve"> - gains less losses reclassified to profit or loss as a result of disposals</t>
  </si>
  <si>
    <t xml:space="preserve"> -налог на прибыль, относящийся к переоценке инвестиций, имеющихся в наличии для продажи</t>
  </si>
  <si>
    <t>- налог на прибыль, отраженный непосредственно в прочем совокупном доходе</t>
  </si>
  <si>
    <t>-income tax reflected in the other comprehensive income</t>
  </si>
  <si>
    <t>Лизинговые обязательства</t>
  </si>
  <si>
    <t>Finance lease liabilities</t>
  </si>
  <si>
    <t>Расходы за вычетом доходов по операциям с торговыми ценными бумагами</t>
  </si>
  <si>
    <t>Losses less gains from trading securities</t>
  </si>
  <si>
    <t>Расходы за вычетом доходов от операций с финансовыми производными инструментами</t>
  </si>
  <si>
    <t>(Расходы за вычетом доходов)/доходы за вычетом расходов по операциям с иностранной валютой</t>
  </si>
  <si>
    <t>(Losses less gains)/gains less losses from trading in foreign currencies</t>
  </si>
  <si>
    <t>Losses less gains from financial derivatives</t>
  </si>
  <si>
    <t>Gains less losses from investments in securities at FVTPL</t>
  </si>
  <si>
    <t>Losses less gains from investments in securities at FVOCI</t>
  </si>
  <si>
    <t>Чистая прибыль от переоценки инвестиционного имущества</t>
  </si>
  <si>
    <t>Net gain from revaluation of investment property</t>
  </si>
  <si>
    <t>Обесценение прочих активов</t>
  </si>
  <si>
    <t>Impairment for other assets</t>
  </si>
  <si>
    <t>Прибыль до налогообложения</t>
  </si>
  <si>
    <t>Profit before tax</t>
  </si>
  <si>
    <t>Итого совокупный доход / (убыток) за отчетный период</t>
  </si>
  <si>
    <t>Total comprehensive income / (loss) for the reporting period</t>
  </si>
  <si>
    <t>Базовая и разводненная прибыль на обыкновенную акцию 
(в российских рублях за акцию)</t>
  </si>
  <si>
    <t>Basic and diluted earnings per ordinary share 
(expressed in RR per share)</t>
  </si>
  <si>
    <t>Чистые расходы, уплаченные по операциям с торговыми ценными бумагами</t>
  </si>
  <si>
    <t>Net losses paid from trading in trading securities</t>
  </si>
  <si>
    <t>Чистые денежные средства,  полученные от инвестиционной деятельности</t>
  </si>
  <si>
    <t>Net cash  from investing activities</t>
  </si>
  <si>
    <t>Balance at 1 January 2019</t>
  </si>
  <si>
    <t>Прочие операционные (расходы, уплаченные)/доходы, полученные</t>
  </si>
  <si>
    <t>Other operating  (losses paid)/ income received</t>
  </si>
  <si>
    <t>Разовый взнос в Агентство по страхованию вкладов уплаченный</t>
  </si>
  <si>
    <t>One-off contribution to the State Deposit Insurance Agency paid</t>
  </si>
  <si>
    <t>Доходы за вычетом расходов /(расходы за вычетом доходов) по операциям с иностранной валютой</t>
  </si>
  <si>
    <t>Gains less losses /(losses less gains) from trading in foreign currencies</t>
  </si>
  <si>
    <t>Прочие операционные доходы /(расходы)</t>
  </si>
  <si>
    <t>Прочий совокупный доход/(убыток) за отчетный период</t>
  </si>
  <si>
    <t>Other comprehensive income/(loss) for the reporting period</t>
  </si>
  <si>
    <t>TOTAL COMPREHENSIVE INCOME/(LOSS) FOR THE REPORTING PERIOD</t>
  </si>
  <si>
    <t>Погашение субординированного депозита</t>
  </si>
  <si>
    <t>Доходы за вычетом расходов от переоценки иностранной валюты</t>
  </si>
  <si>
    <t>Foreign exchange translation gains less losses</t>
  </si>
  <si>
    <t>Расходы за вычетом доходов от реализации инвестиций в ценные бумаги, оцениваемых по справедливой стоимости через прочий совокупный доход</t>
  </si>
  <si>
    <t>Net (loss)/gain from revaluation of investment property</t>
  </si>
  <si>
    <t>Чистый (убыток)/прибыль от переоценки инвестиционного имущества</t>
  </si>
  <si>
    <t>Прибыль/(убыток) до налогообложения</t>
  </si>
  <si>
    <t>Profit/(loss) before tax</t>
  </si>
  <si>
    <t>ПРИБЫЛЬ/(УБЫТОК) ЗА ОТЧЕТНЫЙ ПЕРИОД</t>
  </si>
  <si>
    <t>PROFIT/(LOSS) FOR THE REPORTING PERIOD</t>
  </si>
  <si>
    <t>Доходы за вычетом расходов от инвестиций в ценные бумаги, оцениваемых по справедливой стоимости через прибыли и убытки</t>
  </si>
  <si>
    <t>Разовый  взнос в  Агентство по страхованию вкладов уплаченный</t>
  </si>
  <si>
    <t>3КВ 2018</t>
  </si>
  <si>
    <t>3КВ 2019</t>
  </si>
  <si>
    <t>Q3 2018</t>
  </si>
  <si>
    <t>Q3 2019</t>
  </si>
  <si>
    <t>Balance at 31 December 2019</t>
  </si>
  <si>
    <t>Остаток на 31 декабря 2019 года</t>
  </si>
  <si>
    <t xml:space="preserve">Profit for the year </t>
  </si>
  <si>
    <t>Убыток за год (пересчитано)</t>
  </si>
  <si>
    <t>Loss for the year (recalculated)</t>
  </si>
  <si>
    <t>Other comprehensive loss</t>
  </si>
  <si>
    <t>Прочий совокупный убыток</t>
  </si>
  <si>
    <t>Остаток на 31 декабря 2019 года</t>
  </si>
  <si>
    <t>Provision for losses on credit related commitments</t>
  </si>
  <si>
    <t>(Расходы за вычетом доходов)/доходы за вычетом расходов от операций с финансовыми производными инструментами</t>
  </si>
  <si>
    <t>(Losses less gains)/gains less losses from financial derivatives</t>
  </si>
  <si>
    <t>Доходы за вычетом расходов/(расходы за вычетом доходов) от переоценки иностранной валюты</t>
  </si>
  <si>
    <t>Foreign exchange translation gains less losses/(losses less gains)</t>
  </si>
  <si>
    <t>-налог на прибыль, относящийся к переоценке ценных бумаг</t>
  </si>
  <si>
    <t xml:space="preserve"> - Income tax related to revaluation of securities</t>
  </si>
  <si>
    <t>Остаток на 31 декабря 2018 года (пересчитано)</t>
  </si>
  <si>
    <t>Balance at 31 December 2018(recalculated)</t>
  </si>
  <si>
    <t>ИТОГО СОВОКУПНЫЙ ДОХОД/(УБЫТОК) ЗА ОТЧЕТНЫЙ ПЕРИОД</t>
  </si>
  <si>
    <t>Credit loss allowance</t>
  </si>
  <si>
    <t>Balance at 1 January 2020</t>
  </si>
  <si>
    <t>Остаток на 1 января 2020 года</t>
  </si>
  <si>
    <t>Остаток на 1 января 2019 года</t>
  </si>
  <si>
    <t>Остаток на 31 марта 2019 года</t>
  </si>
  <si>
    <t>Balance at 31 March 2019</t>
  </si>
  <si>
    <t>Итого совокупный (убыток)/доход</t>
  </si>
  <si>
    <t xml:space="preserve">Net income received/(losses paid) from trading in foreign currencies </t>
  </si>
  <si>
    <t>Чистые доходы, полученные/(расходы уплаченные) по операциям с иностранной валютой</t>
  </si>
  <si>
    <t>Proceeds from redemption of investment securities held to maturity</t>
  </si>
  <si>
    <t>ПРИБЫЛЬ ЗА ОТЧЕТНЫЙ ПЕРИОД</t>
  </si>
  <si>
    <t>PROFIT FOR THE REPORTING PERIOD</t>
  </si>
  <si>
    <t>TOTAL COMPREHENSIVE INCOME FOR THE REPORTING PERIOD</t>
  </si>
  <si>
    <t>ИТОГО СОВОКУПНЫЙ ДОХОД ЗА ОТЧЕТНЫЙ ПЕРИОД</t>
  </si>
  <si>
    <t xml:space="preserve">Total comprehensive income </t>
  </si>
  <si>
    <t>Итого совокупный доход</t>
  </si>
  <si>
    <t>Приобретение инвестиционного имущества</t>
  </si>
  <si>
    <t>Acquisition of investment property</t>
  </si>
  <si>
    <t>Balance at 30 June 2020</t>
  </si>
  <si>
    <t>Остаток на 30 июня 2020 года</t>
  </si>
  <si>
    <t>Прибыль за шесть месяцев, закончившихся 30 июня 2019 года</t>
  </si>
  <si>
    <t>Profit for the six-month period ended 30 June 2020</t>
  </si>
  <si>
    <t>Прибыль за шесть месяцев, закончившихся 30 июня 2020 года</t>
  </si>
  <si>
    <t>Прочий совокупный убыток за шесть месяцев, закончившихся 30 июня 2020 года</t>
  </si>
  <si>
    <t>Прочие операционные расходы, уплаченные</t>
  </si>
  <si>
    <t>Other operating losses paid</t>
  </si>
  <si>
    <t>Other comprehensive(loss)/income for the reporting period</t>
  </si>
  <si>
    <t>Прочий совокупный (убыток)/доход  за отчетный период</t>
  </si>
  <si>
    <t>Прочий совокупный доход за шесть месяцев, закончившихся 30 июня 2019 года</t>
  </si>
  <si>
    <t>Other comprehensive income for the six-month period  ended 30 June 2019</t>
  </si>
  <si>
    <t>Other comprehensive loss for the six-month period  ended 30 June 2020</t>
  </si>
  <si>
    <t>Чистые денежные средства, (использованные в) / полученные от операционной деятельности</t>
  </si>
  <si>
    <t>-налог на прибыль, отраженный непосредственно в прочем совокупном доходе</t>
  </si>
  <si>
    <t>Остаток на 30 июня 2019 года (пересчитано)</t>
  </si>
  <si>
    <t>Balance at 30 June 2019 (recalculated)</t>
  </si>
  <si>
    <t>Net cash (used in)/ from operating activities</t>
  </si>
  <si>
    <t>Profit for the six-month period ended 30 June 2019</t>
  </si>
  <si>
    <t xml:space="preserve">Net interest income after credit loss allowance </t>
  </si>
  <si>
    <t>(Убыток)/прибыль до налогообложения</t>
  </si>
  <si>
    <r>
      <t>Базовый разводненный (убыток)/прибыль на обыкновенную акцию</t>
    </r>
    <r>
      <rPr>
        <b/>
        <vertAlign val="subscript"/>
        <sz val="8.5"/>
        <color rgb="FF000000"/>
        <rFont val="Arial"/>
        <family val="2"/>
        <charset val="204"/>
      </rPr>
      <t xml:space="preserve"> </t>
    </r>
    <r>
      <rPr>
        <sz val="8.5"/>
        <color rgb="FF000000"/>
        <rFont val="Arial"/>
        <family val="2"/>
        <charset val="204"/>
      </rPr>
      <t>(в российских рублях за акцию)</t>
    </r>
  </si>
  <si>
    <t>Чистый доход/(убыток) от переоценки инвестиционного имущества, прочих активов и основных средств</t>
  </si>
  <si>
    <t>Net gain/(loss) from revaluation of investment property, of other assets and of premises</t>
  </si>
  <si>
    <t>Убыток за девять месяцев, закончившихся 30 сентября 2020 года</t>
  </si>
  <si>
    <t>Прочий совокупный убыток за девять месяцев, закончившихся 30 сентября 2020 года</t>
  </si>
  <si>
    <t>Balance at 30 September 2020</t>
  </si>
  <si>
    <t>Остаток на 30 сентября 2020 года</t>
  </si>
  <si>
    <t>Прибыль за девять месяцев, закончившихся 30 сентября 2019 года</t>
  </si>
  <si>
    <t>Profit for the nine-month period ended 30 September 2019</t>
  </si>
  <si>
    <t>Other comprehensive income for the nine-month period  ended 30 September 2019</t>
  </si>
  <si>
    <t>Прочий совокупный доход за девять месяцев, закончившихся 30 сентября 2019 года</t>
  </si>
  <si>
    <t>Balance at 30 September 2019 (recalculated)</t>
  </si>
  <si>
    <t>Остаток на 30 сентября 2019 года (пересчитано)</t>
  </si>
  <si>
    <t>Other comprehensive loss for the nine-month period  ended 30 September 2020</t>
  </si>
  <si>
    <t>Loss for the nine-month period ended 30 September 2020</t>
  </si>
  <si>
    <t>Чистые денежные средства, использованные в операционной деятельности</t>
  </si>
  <si>
    <t>Net cash used in operating activities</t>
  </si>
  <si>
    <t>Выплата дивидендов</t>
  </si>
  <si>
    <t>(Loss)/profit before tax</t>
  </si>
  <si>
    <t>Net decrease/(net increase) in operating assets</t>
  </si>
  <si>
    <t>Perpetual subordinated loan</t>
  </si>
  <si>
    <t xml:space="preserve">Balance at December 31, 2019 </t>
  </si>
  <si>
    <t>Payments on perpetual subordinated loan</t>
  </si>
  <si>
    <t>Прочий совокупный убыток за год</t>
  </si>
  <si>
    <t>Other comprehensive loss for the year</t>
  </si>
  <si>
    <t>Остаток на 31 декабря 2020 года</t>
  </si>
  <si>
    <t xml:space="preserve">Balance at December 31, 2020 </t>
  </si>
  <si>
    <t>Оценочный резерв под кредитные убытки по долговым финансовым активам</t>
  </si>
  <si>
    <t>Чистые процентные доходы после создания оценочного резерва под кредитные убытки</t>
  </si>
  <si>
    <t>Прочие операционные расходы</t>
  </si>
  <si>
    <t>Оценочный резерв под кредитные убытки по обязательствам кредитного характера</t>
  </si>
  <si>
    <t>Net loss from revaluation of investment property, of other assets and of premises</t>
  </si>
  <si>
    <t>Чистый убыток от переоценки инвестиционного имущества, прочих активов и основных средств</t>
  </si>
  <si>
    <t>Interest paid on perpetual subordinated loan</t>
  </si>
  <si>
    <t>Денежные средства и их эквиваленты на начало года</t>
  </si>
  <si>
    <t>Cash and cash equivalents at the beginning of the year</t>
  </si>
  <si>
    <t>Субординированные кредиты и депозиты</t>
  </si>
  <si>
    <t>Subordinated loans and deposit</t>
  </si>
  <si>
    <t>Выплаты по бессрочным субординированным кредитам</t>
  </si>
  <si>
    <t>Выплата процентов по субординированному кредиту, учтенному в капитале</t>
  </si>
  <si>
    <t>Бессрочный субординированный кредит</t>
  </si>
  <si>
    <t>Консолидированный отчет о финансовом положении</t>
  </si>
  <si>
    <t>Consolidated Statement of Financial Position</t>
  </si>
  <si>
    <t>Банк "Возрождение": дополнительная информация для аналитиков по 
Консолидированной финансовой отчетности по МСФО за год, закончившийся 31 декабря 2020 года</t>
  </si>
  <si>
    <t>Консолидированный отчет о прибыли или убытке и прочем совокупном доходе</t>
  </si>
  <si>
    <t>Консолидированный отчет об изменениях в собственном капитале</t>
  </si>
  <si>
    <t>Консолидированный отчет о движении денежных средств</t>
  </si>
  <si>
    <t>Consolidated Statement of Profit or Loss and Other Comprehensive Income</t>
  </si>
  <si>
    <t>Consolidated Statement of Changes in Equity</t>
  </si>
  <si>
    <t>Consolidated Statement of Cash Flows</t>
  </si>
  <si>
    <t>Убыток от первоначального признания кредитов</t>
  </si>
  <si>
    <t>Loss from initial recognition of loans</t>
  </si>
  <si>
    <t>Привлечение субординированных кредитов</t>
  </si>
  <si>
    <t>Receipt of subordinated loans</t>
  </si>
  <si>
    <t>Чистые денежные средства полученные от /(использованные в) финансовой деятельности</t>
  </si>
  <si>
    <t>Net cash received from/ (used in) financing activities</t>
  </si>
  <si>
    <t>Чистое (снижение)/ увеличениеденежных средств и их эквивалентов</t>
  </si>
  <si>
    <t>Net cash (decrease)/ increase in cash and cash equivalents</t>
  </si>
  <si>
    <t>Остаток на 1 января 2019 года</t>
  </si>
  <si>
    <t xml:space="preserve">Balance at 1 January 2019 </t>
  </si>
  <si>
    <t>Vozrozhdenie Bank: supplementary information on Consolidated Financial statements for the year ended 31 December 2020</t>
  </si>
  <si>
    <t xml:space="preserve">Other operating expenses </t>
  </si>
  <si>
    <t>Interim Consolidated Statement of Cash Flows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</si>
</sst>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%"/>
    <numFmt numFmtId="166" formatCode="0.0"/>
    <numFmt numFmtId="167" formatCode="#,##0;\(#,##0\);&quot;-&quot;"/>
    <numFmt numFmtId="168" formatCode="\ ###,###;\(###,###\);&quot;-&quot;"/>
    <numFmt numFmtId="169" formatCode="#,##0.0000;\(#,##0.0000\);&quot;-&quot;"/>
  </numFmts>
  <fonts count="62" x14ac:knownFonts="1">
    <font>
      <sz val="12"/>
      <name val="Arial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62"/>
      <name val="Arial"/>
      <family val="2"/>
      <charset val="204"/>
    </font>
    <font>
      <i/>
      <sz val="11"/>
      <color indexed="56"/>
      <name val="Calibri"/>
      <family val="2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2"/>
      <name val="Arial"/>
      <family val="2"/>
      <charset val="204"/>
    </font>
    <font>
      <sz val="9"/>
      <name val="Arial Cyr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theme="3"/>
      <name val="Times New Roman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Times New Roman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2"/>
      <color theme="0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1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b/>
      <sz val="11"/>
      <color theme="1" tint="0.34998626667073579"/>
      <name val="Calibri"/>
      <family val="2"/>
      <charset val="204"/>
    </font>
    <font>
      <sz val="11"/>
      <color rgb="FF0070C0"/>
      <name val="Calibri"/>
      <family val="2"/>
      <charset val="204"/>
      <scheme val="minor"/>
    </font>
    <font>
      <i/>
      <sz val="9"/>
      <color indexed="56"/>
      <name val="Calibri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indexed="62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sz val="9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Arial"/>
      <family val="2"/>
      <charset val="204"/>
    </font>
    <font>
      <sz val="9"/>
      <color rgb="FFFF0000"/>
      <name val="Arial Cyr"/>
      <family val="2"/>
      <charset val="204"/>
    </font>
    <font>
      <sz val="9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b/>
      <sz val="8.5"/>
      <color rgb="FF000000"/>
      <name val="Arial"/>
      <family val="2"/>
      <charset val="204"/>
    </font>
    <font>
      <b/>
      <vertAlign val="subscript"/>
      <sz val="8.5"/>
      <color rgb="FF000000"/>
      <name val="Arial"/>
      <family val="2"/>
      <charset val="204"/>
    </font>
    <font>
      <sz val="8.5"/>
      <color rgb="FF000000"/>
      <name val="Arial"/>
      <family val="2"/>
      <charset val="204"/>
    </font>
  </fonts>
  <fills count="5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A0C0E5"/>
        <bgColor indexed="64"/>
      </patternFill>
    </fill>
    <fill>
      <patternFill patternType="solid">
        <fgColor rgb="FF58595B"/>
        <bgColor indexed="64"/>
      </patternFill>
    </fill>
    <fill>
      <patternFill patternType="solid">
        <fgColor rgb="FFE7E6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gradientFill degree="270">
        <stop position="0">
          <color theme="0"/>
        </stop>
        <stop position="1">
          <color rgb="FFA0C0E5"/>
        </stop>
      </gradientFill>
    </fill>
    <fill>
      <patternFill patternType="solid">
        <fgColor rgb="FF00FF00"/>
        <bgColor indexed="64"/>
      </patternFill>
    </fill>
    <fill>
      <gradientFill degree="90">
        <stop position="0">
          <color rgb="FFA0C0E5"/>
        </stop>
        <stop position="1">
          <color theme="3" tint="0.40000610370189521"/>
        </stop>
      </gradient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1" tint="0.499984740745262"/>
      </top>
      <bottom style="double">
        <color theme="1" tint="0.499984740745262"/>
      </bottom>
      <diagonal/>
    </border>
    <border>
      <left/>
      <right/>
      <top/>
      <bottom style="double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double">
        <color theme="1" tint="0.499984740745262"/>
      </right>
      <top/>
      <bottom/>
      <diagonal/>
    </border>
    <border>
      <left/>
      <right style="thick">
        <color rgb="FF58595B"/>
      </right>
      <top/>
      <bottom/>
      <diagonal/>
    </border>
    <border>
      <left/>
      <right/>
      <top style="double">
        <color theme="1" tint="0.499984740745262"/>
      </top>
      <bottom/>
      <diagonal/>
    </border>
    <border>
      <left/>
      <right/>
      <top style="double">
        <color theme="1" tint="0.499984740745262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theme="1" tint="0.499984740745262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theme="1" tint="0.499984740745262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4">
    <xf numFmtId="0" fontId="0" fillId="0" borderId="0">
      <alignment vertical="center"/>
    </xf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0" borderId="0">
      <alignment vertical="center"/>
    </xf>
    <xf numFmtId="0" fontId="1" fillId="0" borderId="0">
      <alignment vertical="center"/>
    </xf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0" fontId="22" fillId="28" borderId="1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4" applyNumberFormat="0" applyFill="0" applyAlignment="0" applyProtection="0"/>
    <xf numFmtId="0" fontId="29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2" fillId="29" borderId="7" applyNumberFormat="0" applyAlignment="0" applyProtection="0"/>
    <xf numFmtId="0" fontId="33" fillId="30" borderId="0" applyNumberFormat="0" applyBorder="0" applyAlignment="0" applyProtection="0"/>
    <xf numFmtId="168" fontId="18" fillId="0" borderId="0"/>
    <xf numFmtId="168" fontId="18" fillId="0" borderId="0"/>
    <xf numFmtId="0" fontId="1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0" fontId="7" fillId="0" borderId="0"/>
    <xf numFmtId="0" fontId="7" fillId="0" borderId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18" fillId="32" borderId="8" applyNumberFormat="0" applyFont="0" applyAlignment="0" applyProtection="0"/>
    <xf numFmtId="0" fontId="18" fillId="32" borderId="8" applyNumberFormat="0" applyFont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192">
    <xf numFmtId="0" fontId="0" fillId="0" borderId="0" xfId="0" applyAlignment="1"/>
    <xf numFmtId="0" fontId="28" fillId="2" borderId="0" xfId="37" applyFill="1" applyAlignment="1">
      <alignment wrapText="1"/>
    </xf>
    <xf numFmtId="0" fontId="7" fillId="2" borderId="0" xfId="52" applyFill="1" applyBorder="1"/>
    <xf numFmtId="0" fontId="7" fillId="2" borderId="0" xfId="52" applyFont="1" applyFill="1"/>
    <xf numFmtId="0" fontId="9" fillId="2" borderId="0" xfId="37" applyFont="1" applyFill="1" applyBorder="1" applyAlignment="1"/>
    <xf numFmtId="0" fontId="2" fillId="34" borderId="0" xfId="19" applyFont="1" applyFill="1" applyAlignment="1"/>
    <xf numFmtId="0" fontId="13" fillId="36" borderId="10" xfId="37" applyFont="1" applyFill="1" applyBorder="1" applyAlignment="1">
      <alignment wrapText="1"/>
    </xf>
    <xf numFmtId="0" fontId="12" fillId="37" borderId="0" xfId="37" applyFont="1" applyFill="1" applyBorder="1" applyAlignment="1">
      <alignment wrapText="1"/>
    </xf>
    <xf numFmtId="0" fontId="13" fillId="37" borderId="0" xfId="37" applyFont="1" applyFill="1" applyBorder="1" applyAlignment="1">
      <alignment wrapText="1"/>
    </xf>
    <xf numFmtId="14" fontId="40" fillId="35" borderId="0" xfId="37" applyNumberFormat="1" applyFont="1" applyFill="1" applyBorder="1" applyAlignment="1"/>
    <xf numFmtId="0" fontId="41" fillId="37" borderId="0" xfId="37" applyFont="1" applyFill="1" applyBorder="1" applyAlignment="1">
      <alignment wrapText="1"/>
    </xf>
    <xf numFmtId="3" fontId="39" fillId="36" borderId="10" xfId="37" applyNumberFormat="1" applyFont="1" applyFill="1" applyBorder="1" applyAlignment="1">
      <alignment wrapText="1"/>
    </xf>
    <xf numFmtId="0" fontId="39" fillId="37" borderId="0" xfId="37" applyFont="1" applyFill="1" applyBorder="1" applyAlignment="1">
      <alignment wrapText="1"/>
    </xf>
    <xf numFmtId="0" fontId="2" fillId="37" borderId="0" xfId="19" applyFont="1" applyFill="1" applyAlignment="1"/>
    <xf numFmtId="0" fontId="9" fillId="37" borderId="0" xfId="37" applyFont="1" applyFill="1" applyBorder="1" applyAlignment="1"/>
    <xf numFmtId="0" fontId="0" fillId="37" borderId="0" xfId="0" applyFill="1">
      <alignment vertical="center"/>
    </xf>
    <xf numFmtId="167" fontId="12" fillId="37" borderId="0" xfId="19" applyNumberFormat="1" applyFont="1" applyFill="1" applyBorder="1" applyAlignment="1">
      <alignment wrapText="1"/>
    </xf>
    <xf numFmtId="0" fontId="0" fillId="37" borderId="0" xfId="0" applyFill="1" applyBorder="1">
      <alignment vertical="center"/>
    </xf>
    <xf numFmtId="0" fontId="12" fillId="37" borderId="13" xfId="37" applyFont="1" applyFill="1" applyBorder="1" applyAlignment="1"/>
    <xf numFmtId="0" fontId="0" fillId="37" borderId="0" xfId="0" applyFill="1" applyAlignment="1"/>
    <xf numFmtId="0" fontId="5" fillId="37" borderId="0" xfId="37" applyFont="1" applyFill="1" applyBorder="1" applyAlignment="1"/>
    <xf numFmtId="0" fontId="0" fillId="37" borderId="0" xfId="0" applyFill="1" applyBorder="1" applyAlignment="1"/>
    <xf numFmtId="0" fontId="1" fillId="37" borderId="0" xfId="0" applyFont="1" applyFill="1">
      <alignment vertical="center"/>
    </xf>
    <xf numFmtId="0" fontId="1" fillId="37" borderId="0" xfId="0" applyFont="1" applyFill="1" applyAlignment="1"/>
    <xf numFmtId="14" fontId="40" fillId="35" borderId="0" xfId="37" applyNumberFormat="1" applyFont="1" applyFill="1" applyBorder="1" applyAlignment="1">
      <alignment horizontal="right" wrapText="1"/>
    </xf>
    <xf numFmtId="0" fontId="10" fillId="37" borderId="0" xfId="0" applyFont="1" applyFill="1">
      <alignment vertical="center"/>
    </xf>
    <xf numFmtId="0" fontId="11" fillId="37" borderId="0" xfId="0" applyFont="1" applyFill="1">
      <alignment vertical="center"/>
    </xf>
    <xf numFmtId="0" fontId="8" fillId="37" borderId="0" xfId="0" applyFont="1" applyFill="1" applyBorder="1" applyAlignment="1">
      <alignment horizontal="left"/>
    </xf>
    <xf numFmtId="14" fontId="40" fillId="35" borderId="0" xfId="37" applyNumberFormat="1" applyFont="1" applyFill="1" applyBorder="1" applyAlignment="1">
      <alignment horizontal="center" vertical="top" wrapText="1"/>
    </xf>
    <xf numFmtId="0" fontId="12" fillId="37" borderId="12" xfId="37" applyFont="1" applyFill="1" applyBorder="1" applyAlignment="1"/>
    <xf numFmtId="167" fontId="12" fillId="37" borderId="0" xfId="19" applyNumberFormat="1" applyFont="1" applyFill="1" applyBorder="1" applyAlignment="1">
      <alignment horizontal="right" wrapText="1"/>
    </xf>
    <xf numFmtId="3" fontId="11" fillId="37" borderId="0" xfId="0" applyNumberFormat="1" applyFont="1" applyFill="1" applyBorder="1" applyAlignment="1">
      <alignment horizontal="right"/>
    </xf>
    <xf numFmtId="0" fontId="11" fillId="37" borderId="0" xfId="0" applyFont="1" applyFill="1" applyBorder="1" applyAlignment="1">
      <alignment horizontal="right"/>
    </xf>
    <xf numFmtId="0" fontId="11" fillId="37" borderId="0" xfId="0" applyFont="1" applyFill="1" applyAlignment="1">
      <alignment horizontal="right"/>
    </xf>
    <xf numFmtId="3" fontId="11" fillId="37" borderId="0" xfId="0" applyNumberFormat="1" applyFont="1" applyFill="1" applyAlignment="1">
      <alignment horizontal="right"/>
    </xf>
    <xf numFmtId="0" fontId="1" fillId="37" borderId="0" xfId="0" applyFont="1" applyFill="1" applyBorder="1">
      <alignment vertical="center"/>
    </xf>
    <xf numFmtId="0" fontId="7" fillId="37" borderId="0" xfId="0" applyFont="1" applyFill="1" applyBorder="1">
      <alignment vertical="center"/>
    </xf>
    <xf numFmtId="3" fontId="42" fillId="36" borderId="10" xfId="37" applyNumberFormat="1" applyFont="1" applyFill="1" applyBorder="1" applyAlignment="1">
      <alignment wrapText="1"/>
    </xf>
    <xf numFmtId="167" fontId="39" fillId="36" borderId="10" xfId="37" applyNumberFormat="1" applyFont="1" applyFill="1" applyBorder="1" applyAlignment="1">
      <alignment wrapText="1"/>
    </xf>
    <xf numFmtId="0" fontId="0" fillId="0" borderId="13" xfId="0" applyBorder="1" applyAlignment="1"/>
    <xf numFmtId="0" fontId="4" fillId="0" borderId="0" xfId="34" applyFont="1" applyFill="1" applyBorder="1" applyAlignment="1">
      <alignment vertical="center"/>
    </xf>
    <xf numFmtId="167" fontId="15" fillId="37" borderId="0" xfId="0" applyNumberFormat="1" applyFont="1" applyFill="1" applyBorder="1" applyAlignment="1">
      <alignment horizontal="right"/>
    </xf>
    <xf numFmtId="0" fontId="16" fillId="0" borderId="0" xfId="0" applyFont="1" applyAlignment="1"/>
    <xf numFmtId="0" fontId="6" fillId="34" borderId="0" xfId="19" applyFont="1" applyFill="1" applyAlignment="1">
      <alignment horizontal="right"/>
    </xf>
    <xf numFmtId="0" fontId="31" fillId="37" borderId="0" xfId="37" applyFont="1" applyFill="1" applyAlignment="1">
      <alignment wrapText="1"/>
    </xf>
    <xf numFmtId="0" fontId="31" fillId="37" borderId="0" xfId="37" applyFont="1" applyFill="1" applyAlignment="1">
      <alignment horizontal="right" vertical="center" wrapText="1"/>
    </xf>
    <xf numFmtId="0" fontId="31" fillId="37" borderId="0" xfId="37" applyFont="1" applyFill="1" applyAlignment="1">
      <alignment horizontal="center" vertical="center" wrapText="1"/>
    </xf>
    <xf numFmtId="0" fontId="0" fillId="34" borderId="0" xfId="0" applyFill="1" applyAlignment="1"/>
    <xf numFmtId="0" fontId="24" fillId="34" borderId="11" xfId="32" applyFill="1" applyBorder="1" applyAlignment="1"/>
    <xf numFmtId="0" fontId="0" fillId="0" borderId="0" xfId="0" applyBorder="1" applyAlignment="1"/>
    <xf numFmtId="0" fontId="39" fillId="36" borderId="12" xfId="37" applyFont="1" applyFill="1" applyBorder="1" applyAlignment="1">
      <alignment wrapText="1"/>
    </xf>
    <xf numFmtId="0" fontId="39" fillId="36" borderId="10" xfId="37" applyFont="1" applyFill="1" applyBorder="1" applyAlignment="1">
      <alignment wrapText="1"/>
    </xf>
    <xf numFmtId="0" fontId="39" fillId="37" borderId="16" xfId="37" applyFont="1" applyFill="1" applyBorder="1" applyAlignment="1">
      <alignment wrapText="1"/>
    </xf>
    <xf numFmtId="0" fontId="39" fillId="36" borderId="17" xfId="37" applyFont="1" applyFill="1" applyBorder="1" applyAlignment="1">
      <alignment wrapText="1"/>
    </xf>
    <xf numFmtId="14" fontId="40" fillId="35" borderId="0" xfId="37" applyNumberFormat="1" applyFont="1" applyFill="1" applyBorder="1" applyAlignment="1">
      <alignment horizontal="left" wrapText="1"/>
    </xf>
    <xf numFmtId="167" fontId="39" fillId="37" borderId="0" xfId="37" applyNumberFormat="1" applyFont="1" applyFill="1" applyBorder="1" applyAlignment="1">
      <alignment wrapText="1"/>
    </xf>
    <xf numFmtId="167" fontId="12" fillId="37" borderId="14" xfId="19" applyNumberFormat="1" applyFont="1" applyFill="1" applyBorder="1" applyAlignment="1">
      <alignment wrapText="1"/>
    </xf>
    <xf numFmtId="14" fontId="43" fillId="35" borderId="0" xfId="37" applyNumberFormat="1" applyFont="1" applyFill="1" applyBorder="1" applyAlignment="1">
      <alignment horizontal="center" vertical="top" wrapText="1"/>
    </xf>
    <xf numFmtId="14" fontId="43" fillId="35" borderId="15" xfId="37" applyNumberFormat="1" applyFont="1" applyFill="1" applyBorder="1" applyAlignment="1">
      <alignment horizontal="center" vertical="top" wrapText="1"/>
    </xf>
    <xf numFmtId="0" fontId="17" fillId="37" borderId="0" xfId="0" applyFont="1" applyFill="1" applyBorder="1" applyAlignment="1"/>
    <xf numFmtId="167" fontId="39" fillId="37" borderId="0" xfId="20" applyNumberFormat="1" applyFont="1" applyFill="1" applyBorder="1" applyAlignment="1">
      <alignment wrapText="1"/>
    </xf>
    <xf numFmtId="10" fontId="41" fillId="37" borderId="0" xfId="57" applyNumberFormat="1" applyFont="1" applyFill="1" applyBorder="1" applyAlignment="1">
      <alignment wrapText="1"/>
    </xf>
    <xf numFmtId="0" fontId="45" fillId="37" borderId="0" xfId="37" applyFont="1" applyFill="1" applyBorder="1" applyAlignment="1">
      <alignment wrapText="1"/>
    </xf>
    <xf numFmtId="167" fontId="45" fillId="37" borderId="0" xfId="37" applyNumberFormat="1" applyFont="1" applyFill="1" applyBorder="1" applyAlignment="1">
      <alignment wrapText="1"/>
    </xf>
    <xf numFmtId="164" fontId="46" fillId="2" borderId="0" xfId="62" applyFont="1" applyFill="1" applyBorder="1" applyAlignment="1"/>
    <xf numFmtId="9" fontId="7" fillId="2" borderId="0" xfId="57" applyFont="1" applyFill="1"/>
    <xf numFmtId="165" fontId="39" fillId="37" borderId="16" xfId="57" applyNumberFormat="1" applyFont="1" applyFill="1" applyBorder="1" applyAlignment="1">
      <alignment wrapText="1"/>
    </xf>
    <xf numFmtId="164" fontId="39" fillId="37" borderId="16" xfId="62" applyFont="1" applyFill="1" applyBorder="1" applyAlignment="1">
      <alignment wrapText="1"/>
    </xf>
    <xf numFmtId="165" fontId="9" fillId="2" borderId="0" xfId="57" applyNumberFormat="1" applyFont="1" applyFill="1" applyBorder="1" applyAlignment="1"/>
    <xf numFmtId="167" fontId="13" fillId="37" borderId="0" xfId="19" applyNumberFormat="1" applyFont="1" applyFill="1" applyBorder="1" applyAlignment="1">
      <alignment wrapText="1"/>
    </xf>
    <xf numFmtId="0" fontId="47" fillId="37" borderId="0" xfId="0" applyFont="1" applyFill="1" applyBorder="1">
      <alignment vertical="center"/>
    </xf>
    <xf numFmtId="0" fontId="48" fillId="37" borderId="0" xfId="0" applyFont="1" applyFill="1">
      <alignment vertical="center"/>
    </xf>
    <xf numFmtId="0" fontId="14" fillId="37" borderId="0" xfId="0" applyFont="1" applyFill="1">
      <alignment vertical="center"/>
    </xf>
    <xf numFmtId="0" fontId="12" fillId="37" borderId="0" xfId="37" applyFont="1" applyFill="1" applyBorder="1" applyAlignment="1">
      <alignment horizontal="left" wrapText="1"/>
    </xf>
    <xf numFmtId="3" fontId="13" fillId="37" borderId="18" xfId="37" applyNumberFormat="1" applyFont="1" applyFill="1" applyBorder="1" applyAlignment="1"/>
    <xf numFmtId="167" fontId="13" fillId="37" borderId="18" xfId="19" applyNumberFormat="1" applyFont="1" applyFill="1" applyBorder="1" applyAlignment="1">
      <alignment horizontal="right" wrapText="1"/>
    </xf>
    <xf numFmtId="167" fontId="13" fillId="37" borderId="20" xfId="19" applyNumberFormat="1" applyFont="1" applyFill="1" applyBorder="1" applyAlignment="1">
      <alignment wrapText="1"/>
    </xf>
    <xf numFmtId="0" fontId="12" fillId="37" borderId="21" xfId="37" applyFont="1" applyFill="1" applyBorder="1" applyAlignment="1">
      <alignment wrapText="1"/>
    </xf>
    <xf numFmtId="0" fontId="13" fillId="0" borderId="20" xfId="37" applyFont="1" applyFill="1" applyBorder="1" applyAlignment="1">
      <alignment wrapText="1"/>
    </xf>
    <xf numFmtId="0" fontId="13" fillId="37" borderId="20" xfId="37" applyFont="1" applyFill="1" applyBorder="1" applyAlignment="1">
      <alignment wrapText="1"/>
    </xf>
    <xf numFmtId="0" fontId="39" fillId="37" borderId="18" xfId="37" applyFont="1" applyFill="1" applyBorder="1" applyAlignment="1">
      <alignment wrapText="1"/>
    </xf>
    <xf numFmtId="3" fontId="39" fillId="37" borderId="18" xfId="37" applyNumberFormat="1" applyFont="1" applyFill="1" applyBorder="1" applyAlignment="1">
      <alignment wrapText="1"/>
    </xf>
    <xf numFmtId="167" fontId="12" fillId="37" borderId="21" xfId="19" applyNumberFormat="1" applyFont="1" applyFill="1" applyBorder="1" applyAlignment="1">
      <alignment wrapText="1"/>
    </xf>
    <xf numFmtId="167" fontId="12" fillId="37" borderId="0" xfId="20" applyNumberFormat="1" applyFont="1" applyFill="1" applyBorder="1" applyAlignment="1">
      <alignment horizontal="right" wrapText="1"/>
    </xf>
    <xf numFmtId="167" fontId="13" fillId="37" borderId="19" xfId="19" applyNumberFormat="1" applyFont="1" applyFill="1" applyBorder="1" applyAlignment="1">
      <alignment wrapText="1"/>
    </xf>
    <xf numFmtId="167" fontId="13" fillId="37" borderId="20" xfId="20" applyNumberFormat="1" applyFont="1" applyFill="1" applyBorder="1" applyAlignment="1">
      <alignment horizontal="right" wrapText="1"/>
    </xf>
    <xf numFmtId="3" fontId="49" fillId="37" borderId="0" xfId="0" applyNumberFormat="1" applyFont="1" applyFill="1" applyBorder="1" applyAlignment="1"/>
    <xf numFmtId="3" fontId="39" fillId="37" borderId="21" xfId="37" applyNumberFormat="1" applyFont="1" applyFill="1" applyBorder="1" applyAlignment="1">
      <alignment wrapText="1"/>
    </xf>
    <xf numFmtId="0" fontId="50" fillId="37" borderId="0" xfId="0" applyFont="1" applyFill="1" applyBorder="1" applyAlignment="1">
      <alignment horizontal="left"/>
    </xf>
    <xf numFmtId="14" fontId="40" fillId="35" borderId="0" xfId="37" applyNumberFormat="1" applyFont="1" applyFill="1" applyBorder="1" applyAlignment="1">
      <alignment wrapText="1"/>
    </xf>
    <xf numFmtId="3" fontId="12" fillId="37" borderId="0" xfId="37" applyNumberFormat="1" applyFont="1" applyFill="1" applyBorder="1" applyAlignment="1">
      <alignment wrapText="1"/>
    </xf>
    <xf numFmtId="0" fontId="40" fillId="35" borderId="0" xfId="37" applyNumberFormat="1" applyFont="1" applyFill="1" applyBorder="1" applyAlignment="1">
      <alignment horizontal="right" wrapText="1"/>
    </xf>
    <xf numFmtId="167" fontId="42" fillId="36" borderId="10" xfId="37" applyNumberFormat="1" applyFont="1" applyFill="1" applyBorder="1" applyAlignment="1">
      <alignment wrapText="1"/>
    </xf>
    <xf numFmtId="0" fontId="51" fillId="42" borderId="0" xfId="0" applyFont="1" applyFill="1" applyAlignment="1">
      <alignment horizontal="center"/>
    </xf>
    <xf numFmtId="0" fontId="51" fillId="39" borderId="0" xfId="0" applyFont="1" applyFill="1" applyAlignment="1">
      <alignment horizontal="center" vertical="center"/>
    </xf>
    <xf numFmtId="0" fontId="51" fillId="41" borderId="0" xfId="0" applyFont="1" applyFill="1" applyAlignment="1">
      <alignment horizontal="center" vertical="center"/>
    </xf>
    <xf numFmtId="0" fontId="16" fillId="50" borderId="0" xfId="0" applyFont="1" applyFill="1" applyAlignment="1"/>
    <xf numFmtId="0" fontId="16" fillId="44" borderId="0" xfId="0" applyFont="1" applyFill="1" applyAlignment="1">
      <alignment horizontal="center"/>
    </xf>
    <xf numFmtId="0" fontId="16" fillId="38" borderId="0" xfId="0" applyFont="1" applyFill="1" applyAlignment="1"/>
    <xf numFmtId="0" fontId="16" fillId="40" borderId="0" xfId="0" applyFont="1" applyFill="1" applyAlignment="1"/>
    <xf numFmtId="0" fontId="16" fillId="47" borderId="0" xfId="0" applyFont="1" applyFill="1" applyAlignment="1">
      <alignment horizontal="center" vertical="center"/>
    </xf>
    <xf numFmtId="0" fontId="16" fillId="52" borderId="0" xfId="0" applyFont="1" applyFill="1" applyAlignment="1">
      <alignment horizontal="center"/>
    </xf>
    <xf numFmtId="0" fontId="16" fillId="52" borderId="0" xfId="0" applyFont="1" applyFill="1" applyAlignment="1"/>
    <xf numFmtId="0" fontId="16" fillId="52" borderId="0" xfId="0" applyFont="1" applyFill="1" applyAlignment="1">
      <alignment horizontal="center" vertical="center"/>
    </xf>
    <xf numFmtId="0" fontId="51" fillId="52" borderId="0" xfId="0" applyFont="1" applyFill="1" applyAlignment="1">
      <alignment wrapText="1"/>
    </xf>
    <xf numFmtId="0" fontId="16" fillId="43" borderId="0" xfId="0" applyFont="1" applyFill="1" applyAlignment="1">
      <alignment horizontal="center"/>
    </xf>
    <xf numFmtId="0" fontId="16" fillId="46" borderId="0" xfId="0" applyFont="1" applyFill="1" applyAlignment="1">
      <alignment horizontal="center"/>
    </xf>
    <xf numFmtId="0" fontId="16" fillId="56" borderId="0" xfId="0" applyFont="1" applyFill="1" applyAlignment="1">
      <alignment horizontal="center"/>
    </xf>
    <xf numFmtId="0" fontId="16" fillId="47" borderId="0" xfId="0" applyFont="1" applyFill="1" applyAlignment="1">
      <alignment horizontal="center"/>
    </xf>
    <xf numFmtId="0" fontId="16" fillId="40" borderId="0" xfId="0" applyFont="1" applyFill="1" applyAlignment="1">
      <alignment wrapText="1"/>
    </xf>
    <xf numFmtId="166" fontId="16" fillId="52" borderId="0" xfId="0" applyNumberFormat="1" applyFont="1" applyFill="1" applyAlignment="1">
      <alignment horizontal="center"/>
    </xf>
    <xf numFmtId="0" fontId="51" fillId="38" borderId="0" xfId="0" applyFont="1" applyFill="1" applyAlignment="1"/>
    <xf numFmtId="0" fontId="16" fillId="48" borderId="0" xfId="0" applyFont="1" applyFill="1" applyAlignment="1">
      <alignment horizontal="center"/>
    </xf>
    <xf numFmtId="0" fontId="16" fillId="54" borderId="0" xfId="0" applyFont="1" applyFill="1" applyAlignment="1"/>
    <xf numFmtId="0" fontId="16" fillId="49" borderId="0" xfId="0" applyFont="1" applyFill="1" applyAlignment="1">
      <alignment horizontal="center"/>
    </xf>
    <xf numFmtId="0" fontId="16" fillId="40" borderId="0" xfId="0" applyFont="1" applyFill="1" applyAlignment="1">
      <alignment horizontal="center"/>
    </xf>
    <xf numFmtId="166" fontId="16" fillId="40" borderId="0" xfId="0" applyNumberFormat="1" applyFont="1" applyFill="1" applyAlignment="1">
      <alignment horizontal="center"/>
    </xf>
    <xf numFmtId="0" fontId="16" fillId="57" borderId="0" xfId="0" applyFont="1" applyFill="1" applyAlignment="1"/>
    <xf numFmtId="0" fontId="16" fillId="45" borderId="0" xfId="0" applyFont="1" applyFill="1" applyAlignment="1">
      <alignment horizontal="center"/>
    </xf>
    <xf numFmtId="166" fontId="16" fillId="45" borderId="0" xfId="0" applyNumberFormat="1" applyFont="1" applyFill="1" applyAlignment="1">
      <alignment horizontal="center"/>
    </xf>
    <xf numFmtId="0" fontId="16" fillId="38" borderId="0" xfId="0" applyFont="1" applyFill="1" applyAlignment="1">
      <alignment wrapText="1"/>
    </xf>
    <xf numFmtId="0" fontId="51" fillId="40" borderId="0" xfId="0" applyFont="1" applyFill="1" applyAlignment="1"/>
    <xf numFmtId="166" fontId="16" fillId="47" borderId="0" xfId="0" applyNumberFormat="1" applyFont="1" applyFill="1" applyAlignment="1">
      <alignment horizontal="center"/>
    </xf>
    <xf numFmtId="0" fontId="51" fillId="52" borderId="0" xfId="0" applyFont="1" applyFill="1" applyAlignment="1"/>
    <xf numFmtId="0" fontId="16" fillId="51" borderId="0" xfId="0" applyFont="1" applyFill="1" applyAlignment="1">
      <alignment horizontal="center"/>
    </xf>
    <xf numFmtId="166" fontId="16" fillId="51" borderId="0" xfId="0" applyNumberFormat="1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Alignment="1">
      <alignment wrapText="1"/>
    </xf>
    <xf numFmtId="0" fontId="16" fillId="0" borderId="0" xfId="0" quotePrefix="1" applyFont="1" applyAlignment="1"/>
    <xf numFmtId="0" fontId="53" fillId="0" borderId="0" xfId="0" applyFont="1" applyFill="1" applyAlignment="1"/>
    <xf numFmtId="0" fontId="16" fillId="37" borderId="0" xfId="0" applyFont="1" applyFill="1" applyAlignment="1"/>
    <xf numFmtId="0" fontId="16" fillId="0" borderId="0" xfId="0" applyFont="1" applyFill="1" applyAlignment="1">
      <alignment horizontal="center"/>
    </xf>
    <xf numFmtId="14" fontId="16" fillId="0" borderId="0" xfId="0" applyNumberFormat="1" applyFont="1" applyFill="1" applyAlignment="1"/>
    <xf numFmtId="0" fontId="16" fillId="0" borderId="0" xfId="0" applyFont="1">
      <alignment vertical="center"/>
    </xf>
    <xf numFmtId="167" fontId="39" fillId="37" borderId="0" xfId="20" applyNumberFormat="1" applyFont="1" applyFill="1" applyBorder="1" applyAlignment="1">
      <alignment horizontal="right" wrapText="1"/>
    </xf>
    <xf numFmtId="49" fontId="16" fillId="40" borderId="0" xfId="0" applyNumberFormat="1" applyFont="1" applyFill="1" applyAlignment="1"/>
    <xf numFmtId="49" fontId="16" fillId="38" borderId="0" xfId="0" applyNumberFormat="1" applyFont="1" applyFill="1" applyAlignment="1"/>
    <xf numFmtId="167" fontId="13" fillId="37" borderId="21" xfId="37" applyNumberFormat="1" applyFont="1" applyFill="1" applyBorder="1" applyAlignment="1">
      <alignment wrapText="1"/>
    </xf>
    <xf numFmtId="2" fontId="16" fillId="52" borderId="0" xfId="0" applyNumberFormat="1" applyFont="1" applyFill="1" applyAlignment="1">
      <alignment horizontal="center"/>
    </xf>
    <xf numFmtId="167" fontId="54" fillId="37" borderId="0" xfId="20" applyNumberFormat="1" applyFont="1" applyFill="1" applyBorder="1" applyAlignment="1">
      <alignment wrapText="1"/>
    </xf>
    <xf numFmtId="0" fontId="39" fillId="0" borderId="0" xfId="37" applyFont="1" applyFill="1" applyBorder="1" applyAlignment="1">
      <alignment wrapText="1"/>
    </xf>
    <xf numFmtId="0" fontId="13" fillId="0" borderId="19" xfId="37" applyFont="1" applyFill="1" applyBorder="1" applyAlignment="1">
      <alignment wrapText="1"/>
    </xf>
    <xf numFmtId="167" fontId="55" fillId="37" borderId="0" xfId="0" applyNumberFormat="1" applyFont="1" applyFill="1" applyAlignment="1"/>
    <xf numFmtId="3" fontId="12" fillId="0" borderId="0" xfId="37" applyNumberFormat="1" applyFont="1" applyFill="1" applyBorder="1" applyAlignment="1">
      <alignment wrapText="1"/>
    </xf>
    <xf numFmtId="167" fontId="56" fillId="37" borderId="0" xfId="0" applyNumberFormat="1" applyFont="1" applyFill="1" applyBorder="1" applyAlignment="1">
      <alignment horizontal="right"/>
    </xf>
    <xf numFmtId="3" fontId="13" fillId="37" borderId="23" xfId="37" applyNumberFormat="1" applyFont="1" applyFill="1" applyBorder="1" applyAlignment="1"/>
    <xf numFmtId="167" fontId="13" fillId="37" borderId="23" xfId="19" applyNumberFormat="1" applyFont="1" applyFill="1" applyBorder="1" applyAlignment="1">
      <alignment horizontal="right" wrapText="1"/>
    </xf>
    <xf numFmtId="167" fontId="13" fillId="37" borderId="23" xfId="19" applyNumberFormat="1" applyFont="1" applyFill="1" applyBorder="1" applyAlignment="1">
      <alignment wrapText="1"/>
    </xf>
    <xf numFmtId="167" fontId="13" fillId="37" borderId="22" xfId="19" applyNumberFormat="1" applyFont="1" applyFill="1" applyBorder="1" applyAlignment="1">
      <alignment wrapText="1"/>
    </xf>
    <xf numFmtId="0" fontId="57" fillId="0" borderId="0" xfId="0" applyFont="1" applyAlignment="1"/>
    <xf numFmtId="167" fontId="13" fillId="0" borderId="0" xfId="19" applyNumberFormat="1" applyFont="1" applyFill="1" applyBorder="1" applyAlignment="1">
      <alignment wrapText="1"/>
    </xf>
    <xf numFmtId="0" fontId="17" fillId="34" borderId="0" xfId="19" applyFont="1" applyFill="1" applyAlignment="1">
      <alignment horizontal="left"/>
    </xf>
    <xf numFmtId="0" fontId="9" fillId="37" borderId="0" xfId="37" applyFont="1" applyFill="1" applyBorder="1" applyAlignment="1">
      <alignment horizontal="left"/>
    </xf>
    <xf numFmtId="0" fontId="12" fillId="37" borderId="0" xfId="37" applyFont="1" applyFill="1" applyBorder="1" applyAlignment="1">
      <alignment horizontal="left"/>
    </xf>
    <xf numFmtId="0" fontId="39" fillId="36" borderId="10" xfId="37" applyFont="1" applyFill="1" applyBorder="1" applyAlignment="1">
      <alignment horizontal="left" wrapText="1"/>
    </xf>
    <xf numFmtId="0" fontId="39" fillId="37" borderId="0" xfId="37" applyFont="1" applyFill="1" applyBorder="1" applyAlignment="1">
      <alignment horizontal="left" wrapText="1"/>
    </xf>
    <xf numFmtId="0" fontId="12" fillId="37" borderId="21" xfId="37" applyFont="1" applyFill="1" applyBorder="1" applyAlignment="1">
      <alignment horizontal="left" wrapText="1"/>
    </xf>
    <xf numFmtId="0" fontId="13" fillId="0" borderId="0" xfId="37" applyFont="1" applyFill="1" applyBorder="1" applyAlignment="1">
      <alignment horizontal="left" wrapText="1"/>
    </xf>
    <xf numFmtId="0" fontId="42" fillId="36" borderId="10" xfId="37" applyFont="1" applyFill="1" applyBorder="1" applyAlignment="1">
      <alignment horizontal="left" wrapText="1"/>
    </xf>
    <xf numFmtId="0" fontId="17" fillId="37" borderId="0" xfId="0" applyFont="1" applyFill="1" applyBorder="1" applyAlignment="1">
      <alignment horizontal="left" vertical="center"/>
    </xf>
    <xf numFmtId="0" fontId="17" fillId="37" borderId="0" xfId="0" applyFont="1" applyFill="1" applyAlignment="1">
      <alignment horizontal="left" vertical="center"/>
    </xf>
    <xf numFmtId="0" fontId="13" fillId="37" borderId="24" xfId="37" applyFont="1" applyFill="1" applyBorder="1" applyAlignment="1">
      <alignment wrapText="1"/>
    </xf>
    <xf numFmtId="3" fontId="39" fillId="37" borderId="24" xfId="37" applyNumberFormat="1" applyFont="1" applyFill="1" applyBorder="1" applyAlignment="1">
      <alignment wrapText="1"/>
    </xf>
    <xf numFmtId="0" fontId="12" fillId="37" borderId="0" xfId="37" applyFont="1" applyFill="1" applyBorder="1" applyAlignment="1">
      <alignment horizontal="left" vertical="justify"/>
    </xf>
    <xf numFmtId="167" fontId="16" fillId="0" borderId="0" xfId="0" applyNumberFormat="1" applyFont="1" applyFill="1" applyBorder="1" applyAlignment="1">
      <alignment horizontal="right"/>
    </xf>
    <xf numFmtId="0" fontId="58" fillId="0" borderId="0" xfId="0" applyFont="1" applyFill="1" applyBorder="1" applyAlignment="1">
      <alignment vertical="center" wrapText="1"/>
    </xf>
    <xf numFmtId="167" fontId="13" fillId="37" borderId="0" xfId="19" applyNumberFormat="1" applyFont="1" applyFill="1" applyBorder="1" applyAlignment="1">
      <alignment horizontal="right" wrapText="1"/>
    </xf>
    <xf numFmtId="0" fontId="59" fillId="0" borderId="0" xfId="0" applyFont="1" applyAlignment="1"/>
    <xf numFmtId="167" fontId="0" fillId="0" borderId="0" xfId="0" applyNumberFormat="1" applyAlignment="1"/>
    <xf numFmtId="0" fontId="2" fillId="34" borderId="0" xfId="20" applyFont="1" applyFill="1" applyAlignment="1"/>
    <xf numFmtId="3" fontId="12" fillId="37" borderId="0" xfId="37" applyNumberFormat="1" applyFont="1" applyFill="1" applyBorder="1" applyAlignment="1"/>
    <xf numFmtId="0" fontId="13" fillId="37" borderId="0" xfId="37" applyFont="1" applyFill="1" applyBorder="1" applyAlignment="1">
      <alignment horizontal="left"/>
    </xf>
    <xf numFmtId="164" fontId="42" fillId="36" borderId="10" xfId="62" applyFont="1" applyFill="1" applyBorder="1" applyAlignment="1">
      <alignment horizontal="right" wrapText="1"/>
    </xf>
    <xf numFmtId="0" fontId="39" fillId="57" borderId="0" xfId="37" applyFont="1" applyFill="1" applyBorder="1" applyAlignment="1">
      <alignment wrapText="1"/>
    </xf>
    <xf numFmtId="0" fontId="58" fillId="0" borderId="0" xfId="0" applyFont="1" applyFill="1" applyBorder="1" applyAlignment="1">
      <alignment wrapText="1"/>
    </xf>
    <xf numFmtId="3" fontId="13" fillId="0" borderId="23" xfId="37" applyNumberFormat="1" applyFont="1" applyFill="1" applyBorder="1" applyAlignment="1"/>
    <xf numFmtId="0" fontId="4" fillId="0" borderId="0" xfId="34" applyFont="1" applyFill="1" applyBorder="1" applyAlignment="1">
      <alignment horizontal="left" vertical="center" wrapText="1"/>
    </xf>
    <xf numFmtId="0" fontId="6" fillId="53" borderId="25" xfId="0" applyFont="1" applyFill="1" applyBorder="1" applyAlignment="1">
      <alignment horizontal="center" vertical="top" wrapText="1"/>
    </xf>
    <xf numFmtId="0" fontId="6" fillId="53" borderId="0" xfId="0" applyFont="1" applyFill="1" applyBorder="1" applyAlignment="1">
      <alignment horizontal="center" vertical="top" wrapText="1"/>
    </xf>
    <xf numFmtId="0" fontId="4" fillId="0" borderId="25" xfId="34" applyFont="1" applyFill="1" applyBorder="1" applyAlignment="1">
      <alignment horizontal="center" vertical="center" wrapText="1"/>
    </xf>
    <xf numFmtId="0" fontId="6" fillId="55" borderId="25" xfId="0" applyFont="1" applyFill="1" applyBorder="1" applyAlignment="1">
      <alignment horizontal="center" vertical="top" wrapText="1"/>
    </xf>
    <xf numFmtId="0" fontId="6" fillId="53" borderId="0" xfId="0" applyFont="1" applyFill="1" applyAlignment="1">
      <alignment horizontal="center" vertical="top" wrapText="1"/>
    </xf>
    <xf numFmtId="0" fontId="6" fillId="53" borderId="11" xfId="0" applyFont="1" applyFill="1" applyBorder="1" applyAlignment="1">
      <alignment horizontal="center" vertical="top" wrapText="1"/>
    </xf>
    <xf numFmtId="169" fontId="44" fillId="37" borderId="16" xfId="19" applyNumberFormat="1" applyFont="1" applyFill="1" applyBorder="1" applyAlignment="1">
      <alignment horizontal="center" vertical="center" wrapText="1"/>
    </xf>
    <xf numFmtId="169" fontId="44" fillId="37" borderId="0" xfId="19" applyNumberFormat="1" applyFont="1" applyFill="1" applyBorder="1" applyAlignment="1">
      <alignment horizontal="center" vertical="center" wrapText="1"/>
    </xf>
    <xf numFmtId="0" fontId="4" fillId="0" borderId="0" xfId="34" applyFont="1" applyFill="1" applyBorder="1" applyAlignment="1">
      <alignment horizontal="center" vertical="center" wrapText="1"/>
    </xf>
    <xf numFmtId="0" fontId="4" fillId="0" borderId="11" xfId="34" applyFont="1" applyFill="1" applyBorder="1" applyAlignment="1">
      <alignment horizontal="center" vertical="center" wrapText="1"/>
    </xf>
    <xf numFmtId="0" fontId="6" fillId="55" borderId="0" xfId="0" applyFont="1" applyFill="1" applyBorder="1" applyAlignment="1">
      <alignment horizontal="center" vertical="top" wrapText="1"/>
    </xf>
    <xf numFmtId="0" fontId="6" fillId="55" borderId="0" xfId="0" applyFont="1" applyFill="1" applyAlignment="1">
      <alignment horizontal="center" vertical="top" wrapText="1"/>
    </xf>
    <xf numFmtId="0" fontId="6" fillId="55" borderId="11" xfId="0" applyFont="1" applyFill="1" applyBorder="1" applyAlignment="1">
      <alignment horizontal="center" vertical="top" wrapText="1"/>
    </xf>
    <xf numFmtId="0" fontId="5" fillId="0" borderId="0" xfId="34" applyFont="1" applyFill="1" applyBorder="1" applyAlignment="1">
      <alignment horizontal="left" vertical="center" wrapText="1"/>
    </xf>
    <xf numFmtId="0" fontId="5" fillId="0" borderId="11" xfId="34" applyFont="1" applyFill="1" applyBorder="1" applyAlignment="1">
      <alignment horizontal="left" vertical="center" wrapText="1"/>
    </xf>
  </cellXfs>
  <cellStyles count="64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fo]_x000d__x000a_UserName=bsv_x000d__x000a_UserCompany=СПб РЦ АБ ИНКОМБАНК_x000d__x000a__x000d__x000a_[File Paths]_x000d__x000a_WorkingDirectory=C:\MSTOCK\DLWIN_x000d__x000a_DownLoad" xfId="19"/>
    <cellStyle name="fo]_x000d__x000a_UserName=bsv_x000d__x000a_UserCompany=СПб РЦ АБ ИНКОМБАНК_x000d__x000a__x000d__x000a_[File Paths]_x000d__x000a_WorkingDirectory=C:\MSTOCK\DLWIN_x000d__x000a_DownLoad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Гиперссылка 3" xfId="31"/>
    <cellStyle name="Заголовок 1" xfId="32" builtinId="16"/>
    <cellStyle name="Заголовок 1 2" xfId="33"/>
    <cellStyle name="Заголовок 2" xfId="34" builtinId="17"/>
    <cellStyle name="Заголовок 2 2" xfId="35"/>
    <cellStyle name="Заголовок 3 2" xfId="36"/>
    <cellStyle name="Заголовок 4" xfId="37" builtinId="19"/>
    <cellStyle name="Заголовок 4 2" xfId="38"/>
    <cellStyle name="Итог 2" xfId="39"/>
    <cellStyle name="Контрольная ячейка 2" xfId="40"/>
    <cellStyle name="Нейтральный 2" xfId="41"/>
    <cellStyle name="Обычный" xfId="0" builtinId="0"/>
    <cellStyle name="Обычный 10" xfId="42"/>
    <cellStyle name="Обычный 11" xfId="43"/>
    <cellStyle name="Обычный 2" xfId="44"/>
    <cellStyle name="Обычный 3" xfId="45"/>
    <cellStyle name="Обычный 4" xfId="46"/>
    <cellStyle name="Обычный 5" xfId="47"/>
    <cellStyle name="Обычный 6" xfId="48"/>
    <cellStyle name="Обычный 7" xfId="49"/>
    <cellStyle name="Обычный 8" xfId="50"/>
    <cellStyle name="Обычный 9" xfId="51"/>
    <cellStyle name="Обычный_IFRS Q3 2009 ENG" xfId="52"/>
    <cellStyle name="Плохой 2" xfId="53"/>
    <cellStyle name="Пояснение 2" xfId="54"/>
    <cellStyle name="Примечание 2" xfId="55"/>
    <cellStyle name="Примечание 3" xfId="56"/>
    <cellStyle name="Процентный" xfId="57" builtinId="5"/>
    <cellStyle name="Процентный 2" xfId="58"/>
    <cellStyle name="Процентный 3" xfId="59"/>
    <cellStyle name="Связанная ячейка 2" xfId="60"/>
    <cellStyle name="Текст предупреждения 2" xfId="61"/>
    <cellStyle name="Финансовый" xfId="62" builtinId="3"/>
    <cellStyle name="Хороший 2" xfId="6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7E6DD"/>
      <color rgb="FFB2B2B2"/>
      <color rgb="FFFF99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5" fmlaLink="Contents!$D$15" fmlaRange="Contents!$C$15:$C$16" sel="2" val="0"/>
</file>

<file path=xl/ctrlProps/ctrlProp2.xml><?xml version="1.0" encoding="utf-8"?>
<formControlPr xmlns="http://schemas.microsoft.com/office/spreadsheetml/2009/9/main" objectType="Drop" dropStyle="combo" dx="15" fmlaLink="Contents!$D$15" fmlaRange="Contents!$C$15:$C$16" sel="2" val="0"/>
</file>

<file path=xl/ctrlProps/ctrlProp3.xml><?xml version="1.0" encoding="utf-8"?>
<formControlPr xmlns="http://schemas.microsoft.com/office/spreadsheetml/2009/9/main" objectType="Drop" dropStyle="combo" dx="15" fmlaLink="Contents!$D$15" fmlaRange="Contents!$C$15:$C$16" sel="2" val="0"/>
</file>

<file path=xl/ctrlProps/ctrlProp4.xml><?xml version="1.0" encoding="utf-8"?>
<formControlPr xmlns="http://schemas.microsoft.com/office/spreadsheetml/2009/9/main" objectType="Drop" dropStyle="combo" dx="15" fmlaLink="Contents!$D$15" fmlaRange="Contents!$C$15:$C$16" sel="2" val="0"/>
</file>

<file path=xl/ctrlProps/ctrlProp5.xml><?xml version="1.0" encoding="utf-8"?>
<formControlPr xmlns="http://schemas.microsoft.com/office/spreadsheetml/2009/9/main" objectType="Drop" dropStyle="combo" dx="15" fmlaLink="Contents!$D$15" fmlaRange="Contents!$C$15:$C$16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114300</xdr:rowOff>
    </xdr:from>
    <xdr:to>
      <xdr:col>1</xdr:col>
      <xdr:colOff>1943100</xdr:colOff>
      <xdr:row>4</xdr:row>
      <xdr:rowOff>66675</xdr:rowOff>
    </xdr:to>
    <xdr:pic>
      <xdr:nvPicPr>
        <xdr:cNvPr id="20709" name="Picture 5" descr="Logo_rus_positiv_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14300"/>
          <a:ext cx="20097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</xdr:row>
          <xdr:rowOff>0</xdr:rowOff>
        </xdr:from>
        <xdr:to>
          <xdr:col>3</xdr:col>
          <xdr:colOff>19050</xdr:colOff>
          <xdr:row>3</xdr:row>
          <xdr:rowOff>28575</xdr:rowOff>
        </xdr:to>
        <xdr:sp macro="" textlink="">
          <xdr:nvSpPr>
            <xdr:cNvPr id="7767" name="Drop Down 599" hidden="1">
              <a:extLst>
                <a:ext uri="{63B3BB69-23CF-44E3-9099-C40C66FF867C}">
                  <a14:compatExt spid="_x0000_s77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114300</xdr:rowOff>
    </xdr:from>
    <xdr:to>
      <xdr:col>0</xdr:col>
      <xdr:colOff>2114550</xdr:colOff>
      <xdr:row>4</xdr:row>
      <xdr:rowOff>104775</xdr:rowOff>
    </xdr:to>
    <xdr:pic>
      <xdr:nvPicPr>
        <xdr:cNvPr id="21710" name="Picture 5" descr="Logo_rus_positiv_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14300"/>
          <a:ext cx="20097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3</xdr:col>
          <xdr:colOff>1009650</xdr:colOff>
          <xdr:row>3</xdr:row>
          <xdr:rowOff>38100</xdr:rowOff>
        </xdr:to>
        <xdr:sp macro="" textlink="">
          <xdr:nvSpPr>
            <xdr:cNvPr id="10824" name="Drop Down 584" hidden="1">
              <a:extLst>
                <a:ext uri="{63B3BB69-23CF-44E3-9099-C40C66FF867C}">
                  <a14:compatExt spid="_x0000_s108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95250</xdr:rowOff>
    </xdr:from>
    <xdr:to>
      <xdr:col>0</xdr:col>
      <xdr:colOff>2124075</xdr:colOff>
      <xdr:row>4</xdr:row>
      <xdr:rowOff>76200</xdr:rowOff>
    </xdr:to>
    <xdr:pic>
      <xdr:nvPicPr>
        <xdr:cNvPr id="22732" name="Picture 5" descr="Logo_rus_positiv_CMYK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5250"/>
          <a:ext cx="2019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</xdr:row>
          <xdr:rowOff>152400</xdr:rowOff>
        </xdr:from>
        <xdr:to>
          <xdr:col>2</xdr:col>
          <xdr:colOff>1047750</xdr:colOff>
          <xdr:row>3</xdr:row>
          <xdr:rowOff>28575</xdr:rowOff>
        </xdr:to>
        <xdr:sp macro="" textlink="">
          <xdr:nvSpPr>
            <xdr:cNvPr id="9797" name="Drop Down 581" hidden="1">
              <a:extLst>
                <a:ext uri="{63B3BB69-23CF-44E3-9099-C40C66FF867C}">
                  <a14:compatExt spid="_x0000_s97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123825</xdr:rowOff>
    </xdr:from>
    <xdr:to>
      <xdr:col>0</xdr:col>
      <xdr:colOff>2171700</xdr:colOff>
      <xdr:row>4</xdr:row>
      <xdr:rowOff>76200</xdr:rowOff>
    </xdr:to>
    <xdr:pic>
      <xdr:nvPicPr>
        <xdr:cNvPr id="24777" name="Picture 5" descr="Logo_rus_positiv_CMYK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"/>
          <a:ext cx="20193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0</xdr:rowOff>
        </xdr:from>
        <xdr:to>
          <xdr:col>2</xdr:col>
          <xdr:colOff>1009650</xdr:colOff>
          <xdr:row>3</xdr:row>
          <xdr:rowOff>28575</xdr:rowOff>
        </xdr:to>
        <xdr:sp macro="" textlink="">
          <xdr:nvSpPr>
            <xdr:cNvPr id="13891" name="Drop Down 579" hidden="1">
              <a:extLst>
                <a:ext uri="{63B3BB69-23CF-44E3-9099-C40C66FF867C}">
                  <a14:compatExt spid="_x0000_s138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114300</xdr:rowOff>
    </xdr:from>
    <xdr:to>
      <xdr:col>0</xdr:col>
      <xdr:colOff>2152650</xdr:colOff>
      <xdr:row>4</xdr:row>
      <xdr:rowOff>66675</xdr:rowOff>
    </xdr:to>
    <xdr:pic>
      <xdr:nvPicPr>
        <xdr:cNvPr id="25799" name="Picture 5" descr="Logo_rus_positiv_CMYK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14300"/>
          <a:ext cx="20193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0</xdr:rowOff>
        </xdr:from>
        <xdr:to>
          <xdr:col>2</xdr:col>
          <xdr:colOff>1009650</xdr:colOff>
          <xdr:row>3</xdr:row>
          <xdr:rowOff>28575</xdr:rowOff>
        </xdr:to>
        <xdr:sp macro="" textlink="">
          <xdr:nvSpPr>
            <xdr:cNvPr id="12865" name="Drop Down 577" hidden="1">
              <a:extLst>
                <a:ext uri="{63B3BB69-23CF-44E3-9099-C40C66FF867C}">
                  <a14:compatExt spid="_x0000_s128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.bin"/><Relationship Id="rId13" Type="http://schemas.openxmlformats.org/officeDocument/2006/relationships/ctrlProp" Target="../ctrlProps/ctrlProp1.xml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12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12.bin"/><Relationship Id="rId10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1.bin"/><Relationship Id="rId9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5.bin"/><Relationship Id="rId13" Type="http://schemas.openxmlformats.org/officeDocument/2006/relationships/ctrlProp" Target="../ctrlProps/ctrlProp2.xml"/><Relationship Id="rId3" Type="http://schemas.openxmlformats.org/officeDocument/2006/relationships/printerSettings" Target="../printerSettings/printerSettings20.bin"/><Relationship Id="rId7" Type="http://schemas.openxmlformats.org/officeDocument/2006/relationships/printerSettings" Target="../printerSettings/printerSettings24.bin"/><Relationship Id="rId12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6" Type="http://schemas.openxmlformats.org/officeDocument/2006/relationships/printerSettings" Target="../printerSettings/printerSettings23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22.bin"/><Relationship Id="rId10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1.bin"/><Relationship Id="rId9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.bin"/><Relationship Id="rId13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12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11" Type="http://schemas.openxmlformats.org/officeDocument/2006/relationships/drawing" Target="../drawings/drawing3.xml"/><Relationship Id="rId5" Type="http://schemas.openxmlformats.org/officeDocument/2006/relationships/printerSettings" Target="../printerSettings/printerSettings32.bin"/><Relationship Id="rId10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31.bin"/><Relationship Id="rId9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printerSettings" Target="../printerSettings/printerSettings40.bin"/><Relationship Id="rId7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Relationship Id="rId6" Type="http://schemas.openxmlformats.org/officeDocument/2006/relationships/printerSettings" Target="../printerSettings/printerSettings43.bin"/><Relationship Id="rId5" Type="http://schemas.openxmlformats.org/officeDocument/2006/relationships/printerSettings" Target="../printerSettings/printerSettings42.bin"/><Relationship Id="rId10" Type="http://schemas.openxmlformats.org/officeDocument/2006/relationships/ctrlProp" Target="../ctrlProps/ctrlProp4.xml"/><Relationship Id="rId4" Type="http://schemas.openxmlformats.org/officeDocument/2006/relationships/printerSettings" Target="../printerSettings/printerSettings41.bin"/><Relationship Id="rId9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5.xml"/><Relationship Id="rId3" Type="http://schemas.openxmlformats.org/officeDocument/2006/relationships/printerSettings" Target="../printerSettings/printerSettings47.bin"/><Relationship Id="rId7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6" Type="http://schemas.openxmlformats.org/officeDocument/2006/relationships/printerSettings" Target="../printerSettings/printerSettings50.bin"/><Relationship Id="rId5" Type="http://schemas.openxmlformats.org/officeDocument/2006/relationships/printerSettings" Target="../printerSettings/printerSettings49.bin"/><Relationship Id="rId10" Type="http://schemas.openxmlformats.org/officeDocument/2006/relationships/ctrlProp" Target="../ctrlProps/ctrlProp5.xml"/><Relationship Id="rId4" Type="http://schemas.openxmlformats.org/officeDocument/2006/relationships/printerSettings" Target="../printerSettings/printerSettings48.bin"/><Relationship Id="rId9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D553"/>
  <sheetViews>
    <sheetView topLeftCell="A175" zoomScaleNormal="100" workbookViewId="0">
      <selection activeCell="B201" sqref="B201"/>
    </sheetView>
  </sheetViews>
  <sheetFormatPr defaultColWidth="8.88671875" defaultRowHeight="12" x14ac:dyDescent="0.2"/>
  <cols>
    <col min="1" max="1" width="6.44140625" style="131" customWidth="1"/>
    <col min="2" max="2" width="53.88671875" style="126" customWidth="1"/>
    <col min="3" max="3" width="54.5546875" style="133" customWidth="1"/>
    <col min="4" max="4" width="7.77734375" style="126" customWidth="1"/>
    <col min="5" max="16384" width="8.88671875" style="126"/>
  </cols>
  <sheetData>
    <row r="1" spans="1:4" s="42" customFormat="1" x14ac:dyDescent="0.2">
      <c r="A1" s="93" t="s">
        <v>17</v>
      </c>
      <c r="B1" s="94" t="s">
        <v>19</v>
      </c>
      <c r="C1" s="95" t="s">
        <v>18</v>
      </c>
      <c r="D1" s="96" t="s">
        <v>338</v>
      </c>
    </row>
    <row r="2" spans="1:4" s="42" customFormat="1" x14ac:dyDescent="0.2">
      <c r="A2" s="97">
        <v>1</v>
      </c>
      <c r="B2" s="98" t="s">
        <v>4</v>
      </c>
      <c r="C2" s="99" t="s">
        <v>5</v>
      </c>
      <c r="D2" s="100" t="str">
        <f>IF(C2&lt;&gt;"","да","нет")</f>
        <v>да</v>
      </c>
    </row>
    <row r="3" spans="1:4" s="42" customFormat="1" x14ac:dyDescent="0.2">
      <c r="A3" s="97">
        <v>2</v>
      </c>
      <c r="B3" s="98" t="s">
        <v>948</v>
      </c>
      <c r="C3" s="99" t="s">
        <v>947</v>
      </c>
      <c r="D3" s="100" t="str">
        <f t="shared" ref="D3:D72" si="0">IF(C3&lt;&gt;"","да","нет")</f>
        <v>да</v>
      </c>
    </row>
    <row r="4" spans="1:4" s="42" customFormat="1" x14ac:dyDescent="0.2">
      <c r="A4" s="97">
        <v>3</v>
      </c>
      <c r="B4" s="98" t="s">
        <v>21</v>
      </c>
      <c r="C4" s="99" t="s">
        <v>24</v>
      </c>
      <c r="D4" s="100" t="str">
        <f t="shared" si="0"/>
        <v>да</v>
      </c>
    </row>
    <row r="5" spans="1:4" s="42" customFormat="1" x14ac:dyDescent="0.2">
      <c r="A5" s="97">
        <v>4</v>
      </c>
      <c r="B5" s="98" t="s">
        <v>22</v>
      </c>
      <c r="C5" s="99" t="s">
        <v>25</v>
      </c>
      <c r="D5" s="100" t="str">
        <f t="shared" si="0"/>
        <v>да</v>
      </c>
    </row>
    <row r="6" spans="1:4" s="42" customFormat="1" x14ac:dyDescent="0.2">
      <c r="A6" s="97">
        <v>5</v>
      </c>
      <c r="B6" s="98" t="s">
        <v>762</v>
      </c>
      <c r="C6" s="99" t="s">
        <v>12</v>
      </c>
      <c r="D6" s="100" t="str">
        <f t="shared" si="0"/>
        <v>да</v>
      </c>
    </row>
    <row r="7" spans="1:4" s="42" customFormat="1" x14ac:dyDescent="0.2">
      <c r="A7" s="101">
        <v>6</v>
      </c>
      <c r="B7" s="102" t="s">
        <v>953</v>
      </c>
      <c r="C7" s="102" t="s">
        <v>950</v>
      </c>
      <c r="D7" s="103" t="str">
        <f t="shared" si="0"/>
        <v>да</v>
      </c>
    </row>
    <row r="8" spans="1:4" s="42" customFormat="1" x14ac:dyDescent="0.2">
      <c r="A8" s="97">
        <v>7</v>
      </c>
      <c r="B8" s="98" t="s">
        <v>23</v>
      </c>
      <c r="C8" s="99" t="s">
        <v>26</v>
      </c>
      <c r="D8" s="100" t="str">
        <f t="shared" si="0"/>
        <v>да</v>
      </c>
    </row>
    <row r="9" spans="1:4" s="42" customFormat="1" x14ac:dyDescent="0.2">
      <c r="A9" s="97">
        <v>8</v>
      </c>
      <c r="B9" s="98" t="s">
        <v>954</v>
      </c>
      <c r="C9" s="99" t="s">
        <v>951</v>
      </c>
      <c r="D9" s="100" t="str">
        <f t="shared" si="0"/>
        <v>да</v>
      </c>
    </row>
    <row r="10" spans="1:4" s="42" customFormat="1" x14ac:dyDescent="0.2">
      <c r="A10" s="97">
        <v>9</v>
      </c>
      <c r="B10" s="98" t="s">
        <v>955</v>
      </c>
      <c r="C10" s="99" t="s">
        <v>952</v>
      </c>
      <c r="D10" s="100" t="str">
        <f t="shared" si="0"/>
        <v>да</v>
      </c>
    </row>
    <row r="11" spans="1:4" s="42" customFormat="1" ht="36" x14ac:dyDescent="0.2">
      <c r="A11" s="101">
        <v>10</v>
      </c>
      <c r="B11" s="104" t="s">
        <v>966</v>
      </c>
      <c r="C11" s="104" t="s">
        <v>949</v>
      </c>
      <c r="D11" s="103" t="str">
        <f t="shared" si="0"/>
        <v>да</v>
      </c>
    </row>
    <row r="12" spans="1:4" s="42" customFormat="1" x14ac:dyDescent="0.2">
      <c r="A12" s="105">
        <v>11</v>
      </c>
      <c r="B12" s="98" t="s">
        <v>4</v>
      </c>
      <c r="C12" s="99" t="s">
        <v>5</v>
      </c>
      <c r="D12" s="100" t="str">
        <f t="shared" si="0"/>
        <v>да</v>
      </c>
    </row>
    <row r="13" spans="1:4" s="42" customFormat="1" x14ac:dyDescent="0.2">
      <c r="A13" s="105">
        <v>12</v>
      </c>
      <c r="B13" s="98" t="s">
        <v>27</v>
      </c>
      <c r="C13" s="99" t="s">
        <v>45</v>
      </c>
      <c r="D13" s="100" t="str">
        <f t="shared" si="0"/>
        <v>да</v>
      </c>
    </row>
    <row r="14" spans="1:4" s="42" customFormat="1" x14ac:dyDescent="0.2">
      <c r="A14" s="105">
        <v>13</v>
      </c>
      <c r="B14" s="98" t="s">
        <v>28</v>
      </c>
      <c r="C14" s="99" t="s">
        <v>46</v>
      </c>
      <c r="D14" s="100" t="str">
        <f t="shared" si="0"/>
        <v>да</v>
      </c>
    </row>
    <row r="15" spans="1:4" s="42" customFormat="1" x14ac:dyDescent="0.2">
      <c r="A15" s="105">
        <v>14</v>
      </c>
      <c r="B15" s="98" t="s">
        <v>29</v>
      </c>
      <c r="C15" s="99" t="s">
        <v>47</v>
      </c>
      <c r="D15" s="100" t="str">
        <f t="shared" si="0"/>
        <v>да</v>
      </c>
    </row>
    <row r="16" spans="1:4" s="42" customFormat="1" x14ac:dyDescent="0.2">
      <c r="A16" s="105">
        <v>15</v>
      </c>
      <c r="B16" s="98" t="s">
        <v>30</v>
      </c>
      <c r="C16" s="99" t="s">
        <v>48</v>
      </c>
      <c r="D16" s="100" t="str">
        <f t="shared" si="0"/>
        <v>да</v>
      </c>
    </row>
    <row r="17" spans="1:4" s="42" customFormat="1" x14ac:dyDescent="0.2">
      <c r="A17" s="105">
        <v>16</v>
      </c>
      <c r="B17" s="98" t="s">
        <v>491</v>
      </c>
      <c r="C17" s="99" t="s">
        <v>49</v>
      </c>
      <c r="D17" s="100" t="str">
        <f t="shared" si="0"/>
        <v>да</v>
      </c>
    </row>
    <row r="18" spans="1:4" s="42" customFormat="1" x14ac:dyDescent="0.2">
      <c r="A18" s="105">
        <v>17</v>
      </c>
      <c r="B18" s="98" t="s">
        <v>575</v>
      </c>
      <c r="C18" s="99" t="s">
        <v>577</v>
      </c>
      <c r="D18" s="100" t="str">
        <f t="shared" si="0"/>
        <v>да</v>
      </c>
    </row>
    <row r="19" spans="1:4" s="42" customFormat="1" x14ac:dyDescent="0.2">
      <c r="A19" s="105">
        <v>18</v>
      </c>
      <c r="B19" s="98" t="s">
        <v>576</v>
      </c>
      <c r="C19" s="99" t="s">
        <v>578</v>
      </c>
      <c r="D19" s="100" t="str">
        <f t="shared" si="0"/>
        <v>да</v>
      </c>
    </row>
    <row r="20" spans="1:4" s="42" customFormat="1" x14ac:dyDescent="0.2">
      <c r="A20" s="105">
        <v>19</v>
      </c>
      <c r="B20" s="98" t="s">
        <v>32</v>
      </c>
      <c r="C20" s="99" t="s">
        <v>8</v>
      </c>
      <c r="D20" s="100" t="str">
        <f t="shared" si="0"/>
        <v>да</v>
      </c>
    </row>
    <row r="21" spans="1:4" s="42" customFormat="1" x14ac:dyDescent="0.2">
      <c r="A21" s="105">
        <v>20</v>
      </c>
      <c r="B21" s="98" t="s">
        <v>33</v>
      </c>
      <c r="C21" s="99" t="s">
        <v>51</v>
      </c>
      <c r="D21" s="100" t="str">
        <f t="shared" si="0"/>
        <v>да</v>
      </c>
    </row>
    <row r="22" spans="1:4" s="42" customFormat="1" x14ac:dyDescent="0.2">
      <c r="A22" s="105">
        <v>21</v>
      </c>
      <c r="B22" s="98" t="s">
        <v>34</v>
      </c>
      <c r="C22" s="99" t="s">
        <v>497</v>
      </c>
      <c r="D22" s="100" t="str">
        <f t="shared" si="0"/>
        <v>да</v>
      </c>
    </row>
    <row r="23" spans="1:4" s="42" customFormat="1" x14ac:dyDescent="0.2">
      <c r="A23" s="105">
        <v>22</v>
      </c>
      <c r="B23" s="98" t="s">
        <v>35</v>
      </c>
      <c r="C23" s="99" t="s">
        <v>52</v>
      </c>
      <c r="D23" s="100" t="str">
        <f t="shared" si="0"/>
        <v>да</v>
      </c>
    </row>
    <row r="24" spans="1:4" s="42" customFormat="1" x14ac:dyDescent="0.2">
      <c r="A24" s="105">
        <v>23</v>
      </c>
      <c r="B24" s="98" t="s">
        <v>36</v>
      </c>
      <c r="C24" s="99" t="s">
        <v>53</v>
      </c>
      <c r="D24" s="100" t="str">
        <f t="shared" si="0"/>
        <v>да</v>
      </c>
    </row>
    <row r="25" spans="1:4" s="42" customFormat="1" x14ac:dyDescent="0.2">
      <c r="A25" s="105">
        <v>24</v>
      </c>
      <c r="B25" s="98" t="s">
        <v>37</v>
      </c>
      <c r="C25" s="99" t="s">
        <v>54</v>
      </c>
      <c r="D25" s="100" t="str">
        <f t="shared" si="0"/>
        <v>да</v>
      </c>
    </row>
    <row r="26" spans="1:4" s="42" customFormat="1" x14ac:dyDescent="0.2">
      <c r="A26" s="105">
        <v>25</v>
      </c>
      <c r="B26" s="98" t="s">
        <v>38</v>
      </c>
      <c r="C26" s="99" t="s">
        <v>55</v>
      </c>
      <c r="D26" s="100" t="str">
        <f t="shared" si="0"/>
        <v>да</v>
      </c>
    </row>
    <row r="27" spans="1:4" s="42" customFormat="1" x14ac:dyDescent="0.2">
      <c r="A27" s="105">
        <v>26</v>
      </c>
      <c r="B27" s="98" t="s">
        <v>39</v>
      </c>
      <c r="C27" s="99" t="s">
        <v>56</v>
      </c>
      <c r="D27" s="100" t="str">
        <f t="shared" si="0"/>
        <v>да</v>
      </c>
    </row>
    <row r="28" spans="1:4" s="42" customFormat="1" x14ac:dyDescent="0.2">
      <c r="A28" s="105">
        <v>27</v>
      </c>
      <c r="B28" s="98" t="s">
        <v>40</v>
      </c>
      <c r="C28" s="99" t="s">
        <v>57</v>
      </c>
      <c r="D28" s="100" t="str">
        <f t="shared" si="0"/>
        <v>да</v>
      </c>
    </row>
    <row r="29" spans="1:4" s="42" customFormat="1" x14ac:dyDescent="0.2">
      <c r="A29" s="105">
        <v>28</v>
      </c>
      <c r="B29" s="98" t="s">
        <v>41</v>
      </c>
      <c r="C29" s="99" t="s">
        <v>62</v>
      </c>
      <c r="D29" s="100" t="str">
        <f t="shared" si="0"/>
        <v>да</v>
      </c>
    </row>
    <row r="30" spans="1:4" s="42" customFormat="1" x14ac:dyDescent="0.2">
      <c r="A30" s="105">
        <v>29</v>
      </c>
      <c r="B30" s="98" t="s">
        <v>42</v>
      </c>
      <c r="C30" s="99" t="s">
        <v>58</v>
      </c>
      <c r="D30" s="100" t="str">
        <f t="shared" si="0"/>
        <v>да</v>
      </c>
    </row>
    <row r="31" spans="1:4" s="42" customFormat="1" x14ac:dyDescent="0.2">
      <c r="A31" s="105">
        <v>30</v>
      </c>
      <c r="B31" s="98" t="s">
        <v>43</v>
      </c>
      <c r="C31" s="99" t="s">
        <v>59</v>
      </c>
      <c r="D31" s="100" t="str">
        <f t="shared" si="0"/>
        <v>да</v>
      </c>
    </row>
    <row r="32" spans="1:4" s="42" customFormat="1" x14ac:dyDescent="0.2">
      <c r="A32" s="105">
        <v>31</v>
      </c>
      <c r="B32" s="98" t="s">
        <v>44</v>
      </c>
      <c r="C32" s="99" t="s">
        <v>61</v>
      </c>
      <c r="D32" s="100" t="str">
        <f t="shared" si="0"/>
        <v>да</v>
      </c>
    </row>
    <row r="33" spans="1:4" s="42" customFormat="1" x14ac:dyDescent="0.2">
      <c r="A33" s="105">
        <v>32</v>
      </c>
      <c r="B33" s="98" t="s">
        <v>370</v>
      </c>
      <c r="C33" s="99" t="s">
        <v>60</v>
      </c>
      <c r="D33" s="100" t="str">
        <f t="shared" si="0"/>
        <v>да</v>
      </c>
    </row>
    <row r="34" spans="1:4" s="42" customFormat="1" x14ac:dyDescent="0.2">
      <c r="A34" s="105">
        <v>33</v>
      </c>
      <c r="B34" s="98" t="s">
        <v>360</v>
      </c>
      <c r="C34" s="99" t="s">
        <v>359</v>
      </c>
      <c r="D34" s="100" t="str">
        <f t="shared" si="0"/>
        <v>да</v>
      </c>
    </row>
    <row r="35" spans="1:4" s="42" customFormat="1" x14ac:dyDescent="0.2">
      <c r="A35" s="106">
        <v>34</v>
      </c>
      <c r="B35" s="98" t="s">
        <v>488</v>
      </c>
      <c r="C35" s="99" t="s">
        <v>6</v>
      </c>
      <c r="D35" s="100" t="str">
        <f t="shared" si="0"/>
        <v>да</v>
      </c>
    </row>
    <row r="36" spans="1:4" s="42" customFormat="1" x14ac:dyDescent="0.2">
      <c r="A36" s="106">
        <v>35</v>
      </c>
      <c r="B36" s="98" t="s">
        <v>63</v>
      </c>
      <c r="C36" s="99" t="s">
        <v>698</v>
      </c>
      <c r="D36" s="100" t="str">
        <f t="shared" si="0"/>
        <v>да</v>
      </c>
    </row>
    <row r="37" spans="1:4" s="42" customFormat="1" x14ac:dyDescent="0.2">
      <c r="A37" s="106">
        <v>36</v>
      </c>
      <c r="B37" s="98" t="s">
        <v>64</v>
      </c>
      <c r="C37" s="99" t="s">
        <v>377</v>
      </c>
      <c r="D37" s="100" t="str">
        <f t="shared" si="0"/>
        <v>да</v>
      </c>
    </row>
    <row r="38" spans="1:4" s="42" customFormat="1" x14ac:dyDescent="0.2">
      <c r="A38" s="106">
        <v>37</v>
      </c>
      <c r="B38" s="98" t="s">
        <v>65</v>
      </c>
      <c r="C38" s="99" t="s">
        <v>206</v>
      </c>
      <c r="D38" s="100" t="str">
        <f t="shared" si="0"/>
        <v>да</v>
      </c>
    </row>
    <row r="39" spans="1:4" s="42" customFormat="1" x14ac:dyDescent="0.2">
      <c r="A39" s="106">
        <v>38</v>
      </c>
      <c r="B39" s="98" t="s">
        <v>66</v>
      </c>
      <c r="C39" s="99" t="s">
        <v>207</v>
      </c>
      <c r="D39" s="100" t="str">
        <f t="shared" si="0"/>
        <v>да</v>
      </c>
    </row>
    <row r="40" spans="1:4" s="42" customFormat="1" x14ac:dyDescent="0.2">
      <c r="A40" s="106">
        <v>39</v>
      </c>
      <c r="B40" s="98" t="s">
        <v>478</v>
      </c>
      <c r="C40" s="99" t="s">
        <v>477</v>
      </c>
      <c r="D40" s="100" t="str">
        <f t="shared" si="0"/>
        <v>да</v>
      </c>
    </row>
    <row r="41" spans="1:4" s="42" customFormat="1" x14ac:dyDescent="0.2">
      <c r="A41" s="106">
        <v>40</v>
      </c>
      <c r="B41" s="98" t="s">
        <v>67</v>
      </c>
      <c r="C41" s="99" t="s">
        <v>208</v>
      </c>
      <c r="D41" s="100" t="str">
        <f t="shared" si="0"/>
        <v>да</v>
      </c>
    </row>
    <row r="42" spans="1:4" s="42" customFormat="1" x14ac:dyDescent="0.2">
      <c r="A42" s="106">
        <v>41</v>
      </c>
      <c r="B42" s="98" t="s">
        <v>68</v>
      </c>
      <c r="C42" s="99" t="s">
        <v>209</v>
      </c>
      <c r="D42" s="100" t="str">
        <f t="shared" si="0"/>
        <v>да</v>
      </c>
    </row>
    <row r="43" spans="1:4" s="42" customFormat="1" x14ac:dyDescent="0.2">
      <c r="A43" s="106">
        <v>42</v>
      </c>
      <c r="B43" s="98" t="s">
        <v>69</v>
      </c>
      <c r="C43" s="99" t="s">
        <v>210</v>
      </c>
      <c r="D43" s="100" t="str">
        <f t="shared" si="0"/>
        <v>да</v>
      </c>
    </row>
    <row r="44" spans="1:4" s="42" customFormat="1" x14ac:dyDescent="0.2">
      <c r="A44" s="106">
        <v>43</v>
      </c>
      <c r="B44" s="98" t="s">
        <v>70</v>
      </c>
      <c r="C44" s="99" t="s">
        <v>211</v>
      </c>
      <c r="D44" s="100" t="str">
        <f t="shared" si="0"/>
        <v>да</v>
      </c>
    </row>
    <row r="45" spans="1:4" s="42" customFormat="1" x14ac:dyDescent="0.2">
      <c r="A45" s="106">
        <v>44.1</v>
      </c>
      <c r="B45" s="98" t="s">
        <v>71</v>
      </c>
      <c r="C45" s="99" t="s">
        <v>212</v>
      </c>
      <c r="D45" s="100" t="s">
        <v>367</v>
      </c>
    </row>
    <row r="46" spans="1:4" s="42" customFormat="1" x14ac:dyDescent="0.2">
      <c r="A46" s="106">
        <v>44.2</v>
      </c>
      <c r="B46" s="98" t="s">
        <v>479</v>
      </c>
      <c r="C46" s="99" t="s">
        <v>475</v>
      </c>
      <c r="D46" s="100" t="str">
        <f t="shared" si="0"/>
        <v>да</v>
      </c>
    </row>
    <row r="47" spans="1:4" s="42" customFormat="1" x14ac:dyDescent="0.2">
      <c r="A47" s="106">
        <v>45</v>
      </c>
      <c r="B47" s="98" t="s">
        <v>728</v>
      </c>
      <c r="C47" s="99" t="s">
        <v>213</v>
      </c>
      <c r="D47" s="100" t="str">
        <f t="shared" si="0"/>
        <v>да</v>
      </c>
    </row>
    <row r="48" spans="1:4" s="42" customFormat="1" x14ac:dyDescent="0.2">
      <c r="A48" s="106">
        <v>46</v>
      </c>
      <c r="B48" s="98" t="s">
        <v>73</v>
      </c>
      <c r="C48" s="99" t="s">
        <v>214</v>
      </c>
      <c r="D48" s="100" t="str">
        <f t="shared" si="0"/>
        <v>да</v>
      </c>
    </row>
    <row r="49" spans="1:4" s="42" customFormat="1" x14ac:dyDescent="0.2">
      <c r="A49" s="106">
        <v>47</v>
      </c>
      <c r="B49" s="98" t="s">
        <v>74</v>
      </c>
      <c r="C49" s="99" t="s">
        <v>215</v>
      </c>
      <c r="D49" s="100" t="str">
        <f t="shared" si="0"/>
        <v>да</v>
      </c>
    </row>
    <row r="50" spans="1:4" s="42" customFormat="1" x14ac:dyDescent="0.2">
      <c r="A50" s="106">
        <v>48</v>
      </c>
      <c r="B50" s="98" t="s">
        <v>75</v>
      </c>
      <c r="C50" s="99" t="s">
        <v>383</v>
      </c>
      <c r="D50" s="100" t="str">
        <f t="shared" si="0"/>
        <v>да</v>
      </c>
    </row>
    <row r="51" spans="1:4" s="42" customFormat="1" x14ac:dyDescent="0.2">
      <c r="A51" s="106">
        <v>49</v>
      </c>
      <c r="B51" s="98" t="s">
        <v>76</v>
      </c>
      <c r="C51" s="99" t="s">
        <v>217</v>
      </c>
      <c r="D51" s="100" t="str">
        <f t="shared" si="0"/>
        <v>да</v>
      </c>
    </row>
    <row r="52" spans="1:4" s="42" customFormat="1" x14ac:dyDescent="0.2">
      <c r="A52" s="106">
        <v>50</v>
      </c>
      <c r="B52" s="98" t="s">
        <v>77</v>
      </c>
      <c r="C52" s="99" t="s">
        <v>218</v>
      </c>
      <c r="D52" s="100" t="str">
        <f t="shared" si="0"/>
        <v>да</v>
      </c>
    </row>
    <row r="53" spans="1:4" s="42" customFormat="1" x14ac:dyDescent="0.2">
      <c r="A53" s="106">
        <v>50.1</v>
      </c>
      <c r="B53" s="98" t="s">
        <v>620</v>
      </c>
      <c r="C53" s="99" t="s">
        <v>619</v>
      </c>
      <c r="D53" s="100" t="str">
        <f t="shared" si="0"/>
        <v>да</v>
      </c>
    </row>
    <row r="54" spans="1:4" s="42" customFormat="1" x14ac:dyDescent="0.2">
      <c r="A54" s="106">
        <v>51</v>
      </c>
      <c r="B54" s="98" t="s">
        <v>78</v>
      </c>
      <c r="C54" s="99" t="s">
        <v>10</v>
      </c>
      <c r="D54" s="100" t="str">
        <f t="shared" si="0"/>
        <v>да</v>
      </c>
    </row>
    <row r="55" spans="1:4" s="42" customFormat="1" x14ac:dyDescent="0.2">
      <c r="A55" s="106">
        <v>52</v>
      </c>
      <c r="B55" s="98" t="s">
        <v>79</v>
      </c>
      <c r="C55" s="99" t="s">
        <v>219</v>
      </c>
      <c r="D55" s="100" t="str">
        <f t="shared" si="0"/>
        <v>да</v>
      </c>
    </row>
    <row r="56" spans="1:4" s="42" customFormat="1" x14ac:dyDescent="0.2">
      <c r="A56" s="106">
        <v>52.1</v>
      </c>
      <c r="B56" s="98" t="s">
        <v>373</v>
      </c>
      <c r="C56" s="99" t="s">
        <v>372</v>
      </c>
      <c r="D56" s="100" t="str">
        <f t="shared" si="0"/>
        <v>да</v>
      </c>
    </row>
    <row r="57" spans="1:4" s="42" customFormat="1" x14ac:dyDescent="0.2">
      <c r="A57" s="106">
        <v>53</v>
      </c>
      <c r="B57" s="98" t="s">
        <v>943</v>
      </c>
      <c r="C57" s="99" t="s">
        <v>942</v>
      </c>
      <c r="D57" s="100" t="str">
        <f t="shared" si="0"/>
        <v>да</v>
      </c>
    </row>
    <row r="58" spans="1:4" s="42" customFormat="1" x14ac:dyDescent="0.2">
      <c r="A58" s="106">
        <v>54</v>
      </c>
      <c r="B58" s="98" t="s">
        <v>565</v>
      </c>
      <c r="C58" s="99" t="s">
        <v>566</v>
      </c>
      <c r="D58" s="100" t="str">
        <f t="shared" si="0"/>
        <v>да</v>
      </c>
    </row>
    <row r="59" spans="1:4" s="42" customFormat="1" x14ac:dyDescent="0.2">
      <c r="A59" s="106">
        <v>55</v>
      </c>
      <c r="B59" s="98" t="s">
        <v>82</v>
      </c>
      <c r="C59" s="99" t="s">
        <v>222</v>
      </c>
      <c r="D59" s="100" t="str">
        <f t="shared" si="0"/>
        <v>да</v>
      </c>
    </row>
    <row r="60" spans="1:4" s="42" customFormat="1" x14ac:dyDescent="0.2">
      <c r="A60" s="106">
        <v>55.1</v>
      </c>
      <c r="B60" s="98" t="s">
        <v>799</v>
      </c>
      <c r="C60" s="99" t="s">
        <v>798</v>
      </c>
      <c r="D60" s="100" t="str">
        <f t="shared" si="0"/>
        <v>да</v>
      </c>
    </row>
    <row r="61" spans="1:4" s="42" customFormat="1" x14ac:dyDescent="0.2">
      <c r="A61" s="106">
        <v>56</v>
      </c>
      <c r="B61" s="98" t="s">
        <v>83</v>
      </c>
      <c r="C61" s="99" t="s">
        <v>223</v>
      </c>
      <c r="D61" s="100" t="str">
        <f t="shared" si="0"/>
        <v>да</v>
      </c>
    </row>
    <row r="62" spans="1:4" s="42" customFormat="1" x14ac:dyDescent="0.2">
      <c r="A62" s="106">
        <v>57</v>
      </c>
      <c r="B62" s="98" t="s">
        <v>84</v>
      </c>
      <c r="C62" s="99" t="s">
        <v>384</v>
      </c>
      <c r="D62" s="100" t="str">
        <f t="shared" si="0"/>
        <v>да</v>
      </c>
    </row>
    <row r="63" spans="1:4" s="42" customFormat="1" x14ac:dyDescent="0.2">
      <c r="A63" s="106">
        <v>58</v>
      </c>
      <c r="B63" s="98" t="s">
        <v>85</v>
      </c>
      <c r="C63" s="99" t="s">
        <v>225</v>
      </c>
      <c r="D63" s="100" t="str">
        <f t="shared" si="0"/>
        <v>да</v>
      </c>
    </row>
    <row r="64" spans="1:4" s="42" customFormat="1" x14ac:dyDescent="0.2">
      <c r="A64" s="106">
        <v>59</v>
      </c>
      <c r="B64" s="98" t="s">
        <v>1</v>
      </c>
      <c r="C64" s="99" t="s">
        <v>382</v>
      </c>
      <c r="D64" s="100" t="str">
        <f t="shared" si="0"/>
        <v>да</v>
      </c>
    </row>
    <row r="65" spans="1:4" s="42" customFormat="1" x14ac:dyDescent="0.2">
      <c r="A65" s="106">
        <v>60</v>
      </c>
      <c r="B65" s="98" t="s">
        <v>2</v>
      </c>
      <c r="C65" s="99" t="s">
        <v>226</v>
      </c>
      <c r="D65" s="100" t="str">
        <f t="shared" si="0"/>
        <v>да</v>
      </c>
    </row>
    <row r="66" spans="1:4" s="42" customFormat="1" x14ac:dyDescent="0.2">
      <c r="A66" s="106">
        <v>61</v>
      </c>
      <c r="B66" s="98" t="s">
        <v>86</v>
      </c>
      <c r="C66" s="99" t="s">
        <v>227</v>
      </c>
      <c r="D66" s="100" t="str">
        <f t="shared" si="0"/>
        <v>да</v>
      </c>
    </row>
    <row r="67" spans="1:4" s="42" customFormat="1" x14ac:dyDescent="0.2">
      <c r="A67" s="106">
        <v>62</v>
      </c>
      <c r="B67" s="98" t="s">
        <v>381</v>
      </c>
      <c r="C67" s="99" t="s">
        <v>409</v>
      </c>
      <c r="D67" s="100" t="str">
        <f t="shared" si="0"/>
        <v>да</v>
      </c>
    </row>
    <row r="68" spans="1:4" s="42" customFormat="1" x14ac:dyDescent="0.2">
      <c r="A68" s="106">
        <v>62.1</v>
      </c>
      <c r="B68" s="98" t="s">
        <v>745</v>
      </c>
      <c r="C68" s="99" t="s">
        <v>533</v>
      </c>
      <c r="D68" s="100" t="str">
        <f t="shared" si="0"/>
        <v>да</v>
      </c>
    </row>
    <row r="69" spans="1:4" s="42" customFormat="1" x14ac:dyDescent="0.2">
      <c r="A69" s="106">
        <v>63</v>
      </c>
      <c r="B69" s="98" t="s">
        <v>87</v>
      </c>
      <c r="C69" s="99" t="s">
        <v>385</v>
      </c>
      <c r="D69" s="100" t="str">
        <f t="shared" si="0"/>
        <v>да</v>
      </c>
    </row>
    <row r="70" spans="1:4" s="42" customFormat="1" x14ac:dyDescent="0.2">
      <c r="A70" s="106">
        <v>63.1</v>
      </c>
      <c r="B70" s="98" t="s">
        <v>790</v>
      </c>
      <c r="C70" s="99" t="s">
        <v>789</v>
      </c>
      <c r="D70" s="100" t="str">
        <f t="shared" si="0"/>
        <v>да</v>
      </c>
    </row>
    <row r="71" spans="1:4" s="42" customFormat="1" x14ac:dyDescent="0.2">
      <c r="A71" s="106">
        <v>64</v>
      </c>
      <c r="B71" s="98" t="s">
        <v>88</v>
      </c>
      <c r="C71" s="99" t="s">
        <v>386</v>
      </c>
      <c r="D71" s="100" t="str">
        <f t="shared" si="0"/>
        <v>да</v>
      </c>
    </row>
    <row r="72" spans="1:4" s="42" customFormat="1" x14ac:dyDescent="0.2">
      <c r="A72" s="106">
        <v>65</v>
      </c>
      <c r="B72" s="98" t="s">
        <v>89</v>
      </c>
      <c r="C72" s="99" t="s">
        <v>228</v>
      </c>
      <c r="D72" s="100" t="str">
        <f t="shared" si="0"/>
        <v>да</v>
      </c>
    </row>
    <row r="73" spans="1:4" s="42" customFormat="1" x14ac:dyDescent="0.2">
      <c r="A73" s="106">
        <v>66</v>
      </c>
      <c r="B73" s="98" t="s">
        <v>492</v>
      </c>
      <c r="C73" s="99" t="s">
        <v>229</v>
      </c>
      <c r="D73" s="100" t="str">
        <f t="shared" ref="D73:D144" si="1">IF(C73&lt;&gt;"","да","нет")</f>
        <v>да</v>
      </c>
    </row>
    <row r="74" spans="1:4" s="42" customFormat="1" x14ac:dyDescent="0.2">
      <c r="A74" s="106">
        <v>67</v>
      </c>
      <c r="B74" s="98" t="s">
        <v>493</v>
      </c>
      <c r="C74" s="99" t="s">
        <v>230</v>
      </c>
      <c r="D74" s="100" t="str">
        <f t="shared" si="1"/>
        <v>да</v>
      </c>
    </row>
    <row r="75" spans="1:4" s="42" customFormat="1" x14ac:dyDescent="0.2">
      <c r="A75" s="106">
        <v>68</v>
      </c>
      <c r="B75" s="98" t="s">
        <v>494</v>
      </c>
      <c r="C75" s="99" t="s">
        <v>231</v>
      </c>
      <c r="D75" s="100" t="str">
        <f t="shared" si="1"/>
        <v>да</v>
      </c>
    </row>
    <row r="76" spans="1:4" s="42" customFormat="1" x14ac:dyDescent="0.2">
      <c r="A76" s="106">
        <v>69</v>
      </c>
      <c r="B76" s="98" t="s">
        <v>495</v>
      </c>
      <c r="C76" s="99" t="s">
        <v>232</v>
      </c>
      <c r="D76" s="100" t="str">
        <f t="shared" si="1"/>
        <v>да</v>
      </c>
    </row>
    <row r="77" spans="1:4" s="42" customFormat="1" x14ac:dyDescent="0.2">
      <c r="A77" s="106">
        <v>70</v>
      </c>
      <c r="B77" s="98" t="s">
        <v>363</v>
      </c>
      <c r="C77" s="99" t="s">
        <v>412</v>
      </c>
      <c r="D77" s="100" t="str">
        <f t="shared" si="1"/>
        <v>да</v>
      </c>
    </row>
    <row r="78" spans="1:4" s="42" customFormat="1" x14ac:dyDescent="0.2">
      <c r="A78" s="106">
        <v>71</v>
      </c>
      <c r="B78" s="98" t="s">
        <v>413</v>
      </c>
      <c r="C78" s="99" t="s">
        <v>417</v>
      </c>
      <c r="D78" s="100" t="str">
        <f t="shared" si="1"/>
        <v>да</v>
      </c>
    </row>
    <row r="79" spans="1:4" s="42" customFormat="1" x14ac:dyDescent="0.2">
      <c r="A79" s="106">
        <v>72</v>
      </c>
      <c r="B79" s="98" t="s">
        <v>414</v>
      </c>
      <c r="C79" s="99" t="s">
        <v>418</v>
      </c>
      <c r="D79" s="100" t="str">
        <f t="shared" si="1"/>
        <v>да</v>
      </c>
    </row>
    <row r="80" spans="1:4" s="42" customFormat="1" x14ac:dyDescent="0.2">
      <c r="A80" s="106">
        <v>73</v>
      </c>
      <c r="B80" s="98" t="s">
        <v>415</v>
      </c>
      <c r="C80" s="99" t="s">
        <v>419</v>
      </c>
      <c r="D80" s="100" t="str">
        <f t="shared" si="1"/>
        <v>да</v>
      </c>
    </row>
    <row r="81" spans="1:4" s="42" customFormat="1" x14ac:dyDescent="0.2">
      <c r="A81" s="106">
        <v>74</v>
      </c>
      <c r="B81" s="98" t="s">
        <v>496</v>
      </c>
      <c r="C81" s="99" t="s">
        <v>420</v>
      </c>
      <c r="D81" s="100" t="str">
        <f t="shared" si="1"/>
        <v>да</v>
      </c>
    </row>
    <row r="82" spans="1:4" s="42" customFormat="1" x14ac:dyDescent="0.2">
      <c r="A82" s="107">
        <v>74.099999999999994</v>
      </c>
      <c r="B82" s="98" t="s">
        <v>518</v>
      </c>
      <c r="C82" s="99" t="s">
        <v>515</v>
      </c>
      <c r="D82" s="100" t="str">
        <f t="shared" si="1"/>
        <v>да</v>
      </c>
    </row>
    <row r="83" spans="1:4" s="42" customFormat="1" x14ac:dyDescent="0.2">
      <c r="A83" s="107">
        <v>74.2</v>
      </c>
      <c r="B83" s="98" t="s">
        <v>517</v>
      </c>
      <c r="C83" s="99" t="s">
        <v>516</v>
      </c>
      <c r="D83" s="100" t="str">
        <f t="shared" si="1"/>
        <v>да</v>
      </c>
    </row>
    <row r="84" spans="1:4" s="42" customFormat="1" x14ac:dyDescent="0.2">
      <c r="A84" s="107">
        <v>74.3</v>
      </c>
      <c r="B84" s="98" t="s">
        <v>532</v>
      </c>
      <c r="C84" s="99" t="s">
        <v>764</v>
      </c>
      <c r="D84" s="100" t="str">
        <f t="shared" si="1"/>
        <v>да</v>
      </c>
    </row>
    <row r="85" spans="1:4" s="42" customFormat="1" x14ac:dyDescent="0.2">
      <c r="A85" s="106">
        <v>75</v>
      </c>
      <c r="B85" s="98" t="s">
        <v>416</v>
      </c>
      <c r="C85" s="99" t="s">
        <v>421</v>
      </c>
      <c r="D85" s="100" t="str">
        <f t="shared" si="1"/>
        <v>да</v>
      </c>
    </row>
    <row r="86" spans="1:4" s="42" customFormat="1" x14ac:dyDescent="0.2">
      <c r="A86" s="106">
        <v>75.5</v>
      </c>
      <c r="B86" s="98" t="s">
        <v>422</v>
      </c>
      <c r="C86" s="99" t="s">
        <v>423</v>
      </c>
      <c r="D86" s="100" t="str">
        <f t="shared" si="1"/>
        <v>да</v>
      </c>
    </row>
    <row r="87" spans="1:4" s="42" customFormat="1" x14ac:dyDescent="0.2">
      <c r="A87" s="106">
        <v>76</v>
      </c>
      <c r="B87" s="98" t="s">
        <v>90</v>
      </c>
      <c r="C87" s="99" t="s">
        <v>233</v>
      </c>
      <c r="D87" s="100" t="str">
        <f t="shared" si="1"/>
        <v>да</v>
      </c>
    </row>
    <row r="88" spans="1:4" s="42" customFormat="1" x14ac:dyDescent="0.2">
      <c r="A88" s="108">
        <v>77</v>
      </c>
      <c r="B88" s="98" t="s">
        <v>7</v>
      </c>
      <c r="C88" s="99" t="s">
        <v>8</v>
      </c>
      <c r="D88" s="100" t="str">
        <f t="shared" si="1"/>
        <v>да</v>
      </c>
    </row>
    <row r="89" spans="1:4" s="42" customFormat="1" x14ac:dyDescent="0.2">
      <c r="A89" s="108">
        <v>78</v>
      </c>
      <c r="B89" s="98" t="s">
        <v>91</v>
      </c>
      <c r="C89" s="99" t="s">
        <v>92</v>
      </c>
      <c r="D89" s="100" t="str">
        <f t="shared" si="1"/>
        <v>да</v>
      </c>
    </row>
    <row r="90" spans="1:4" s="42" customFormat="1" x14ac:dyDescent="0.2">
      <c r="A90" s="108">
        <v>79</v>
      </c>
      <c r="B90" s="98" t="s">
        <v>93</v>
      </c>
      <c r="C90" s="99" t="s">
        <v>234</v>
      </c>
      <c r="D90" s="100" t="str">
        <f t="shared" si="1"/>
        <v>да</v>
      </c>
    </row>
    <row r="91" spans="1:4" s="42" customFormat="1" x14ac:dyDescent="0.2">
      <c r="A91" s="108">
        <v>80</v>
      </c>
      <c r="B91" s="98" t="s">
        <v>94</v>
      </c>
      <c r="C91" s="99" t="s">
        <v>235</v>
      </c>
      <c r="D91" s="100" t="str">
        <f t="shared" si="1"/>
        <v>да</v>
      </c>
    </row>
    <row r="92" spans="1:4" s="42" customFormat="1" x14ac:dyDescent="0.2">
      <c r="A92" s="108">
        <v>81</v>
      </c>
      <c r="B92" s="98" t="s">
        <v>95</v>
      </c>
      <c r="C92" s="99" t="s">
        <v>236</v>
      </c>
      <c r="D92" s="100" t="str">
        <f t="shared" si="1"/>
        <v>да</v>
      </c>
    </row>
    <row r="93" spans="1:4" s="42" customFormat="1" x14ac:dyDescent="0.2">
      <c r="A93" s="108">
        <v>82</v>
      </c>
      <c r="B93" s="98" t="s">
        <v>96</v>
      </c>
      <c r="C93" s="99" t="s">
        <v>237</v>
      </c>
      <c r="D93" s="100" t="str">
        <f t="shared" si="1"/>
        <v>да</v>
      </c>
    </row>
    <row r="94" spans="1:4" s="42" customFormat="1" x14ac:dyDescent="0.2">
      <c r="A94" s="108">
        <v>83</v>
      </c>
      <c r="B94" s="98" t="s">
        <v>97</v>
      </c>
      <c r="C94" s="99" t="s">
        <v>238</v>
      </c>
      <c r="D94" s="100" t="str">
        <f t="shared" si="1"/>
        <v>да</v>
      </c>
    </row>
    <row r="95" spans="1:4" s="42" customFormat="1" x14ac:dyDescent="0.2">
      <c r="A95" s="108">
        <v>84</v>
      </c>
      <c r="B95" s="98" t="s">
        <v>98</v>
      </c>
      <c r="C95" s="99" t="s">
        <v>239</v>
      </c>
      <c r="D95" s="100" t="str">
        <f t="shared" si="1"/>
        <v>да</v>
      </c>
    </row>
    <row r="96" spans="1:4" s="42" customFormat="1" x14ac:dyDescent="0.2">
      <c r="A96" s="108">
        <v>85</v>
      </c>
      <c r="B96" s="98" t="s">
        <v>99</v>
      </c>
      <c r="C96" s="99" t="s">
        <v>240</v>
      </c>
      <c r="D96" s="100" t="str">
        <f t="shared" si="1"/>
        <v>да</v>
      </c>
    </row>
    <row r="97" spans="1:4" s="42" customFormat="1" x14ac:dyDescent="0.2">
      <c r="A97" s="108">
        <v>86</v>
      </c>
      <c r="B97" s="98" t="s">
        <v>100</v>
      </c>
      <c r="C97" s="99" t="s">
        <v>241</v>
      </c>
      <c r="D97" s="100" t="str">
        <f t="shared" si="1"/>
        <v>да</v>
      </c>
    </row>
    <row r="98" spans="1:4" s="42" customFormat="1" x14ac:dyDescent="0.2">
      <c r="A98" s="108">
        <v>86.1</v>
      </c>
      <c r="B98" s="98" t="s">
        <v>376</v>
      </c>
      <c r="C98" s="99" t="s">
        <v>375</v>
      </c>
      <c r="D98" s="100" t="str">
        <f t="shared" si="1"/>
        <v>да</v>
      </c>
    </row>
    <row r="99" spans="1:4" s="42" customFormat="1" x14ac:dyDescent="0.2">
      <c r="A99" s="108">
        <v>86.2</v>
      </c>
      <c r="B99" s="98" t="s">
        <v>612</v>
      </c>
      <c r="C99" s="99" t="s">
        <v>611</v>
      </c>
      <c r="D99" s="100" t="str">
        <f t="shared" si="1"/>
        <v>да</v>
      </c>
    </row>
    <row r="100" spans="1:4" s="42" customFormat="1" x14ac:dyDescent="0.2">
      <c r="A100" s="108">
        <v>87</v>
      </c>
      <c r="B100" s="98" t="s">
        <v>101</v>
      </c>
      <c r="C100" s="99" t="s">
        <v>242</v>
      </c>
      <c r="D100" s="100" t="str">
        <f t="shared" si="1"/>
        <v>да</v>
      </c>
    </row>
    <row r="101" spans="1:4" s="42" customFormat="1" x14ac:dyDescent="0.2">
      <c r="A101" s="108">
        <v>88</v>
      </c>
      <c r="B101" s="98" t="s">
        <v>102</v>
      </c>
      <c r="C101" s="99" t="s">
        <v>243</v>
      </c>
      <c r="D101" s="100" t="str">
        <f t="shared" si="1"/>
        <v>да</v>
      </c>
    </row>
    <row r="102" spans="1:4" s="42" customFormat="1" x14ac:dyDescent="0.2">
      <c r="A102" s="108">
        <v>89</v>
      </c>
      <c r="B102" s="98" t="s">
        <v>103</v>
      </c>
      <c r="C102" s="99" t="s">
        <v>244</v>
      </c>
      <c r="D102" s="100" t="str">
        <f t="shared" si="1"/>
        <v>да</v>
      </c>
    </row>
    <row r="103" spans="1:4" s="42" customFormat="1" x14ac:dyDescent="0.2">
      <c r="A103" s="108">
        <v>90</v>
      </c>
      <c r="B103" s="98" t="s">
        <v>104</v>
      </c>
      <c r="C103" s="99" t="s">
        <v>339</v>
      </c>
      <c r="D103" s="100" t="str">
        <f t="shared" si="1"/>
        <v>да</v>
      </c>
    </row>
    <row r="104" spans="1:4" s="42" customFormat="1" x14ac:dyDescent="0.2">
      <c r="A104" s="108">
        <v>91</v>
      </c>
      <c r="B104" s="98" t="s">
        <v>105</v>
      </c>
      <c r="C104" s="99" t="s">
        <v>340</v>
      </c>
      <c r="D104" s="100" t="str">
        <f t="shared" si="1"/>
        <v>да</v>
      </c>
    </row>
    <row r="105" spans="1:4" s="42" customFormat="1" x14ac:dyDescent="0.2">
      <c r="A105" s="108">
        <v>92</v>
      </c>
      <c r="B105" s="102" t="s">
        <v>558</v>
      </c>
      <c r="C105" s="99" t="s">
        <v>557</v>
      </c>
      <c r="D105" s="100" t="str">
        <f t="shared" si="1"/>
        <v>да</v>
      </c>
    </row>
    <row r="106" spans="1:4" s="42" customFormat="1" x14ac:dyDescent="0.2">
      <c r="A106" s="108">
        <v>92.1</v>
      </c>
      <c r="B106" s="102" t="s">
        <v>564</v>
      </c>
      <c r="C106" s="99" t="s">
        <v>563</v>
      </c>
      <c r="D106" s="100" t="str">
        <f t="shared" si="1"/>
        <v>да</v>
      </c>
    </row>
    <row r="107" spans="1:4" s="42" customFormat="1" x14ac:dyDescent="0.2">
      <c r="A107" s="108">
        <v>93</v>
      </c>
      <c r="B107" s="98" t="s">
        <v>562</v>
      </c>
      <c r="C107" s="99" t="s">
        <v>561</v>
      </c>
      <c r="D107" s="100" t="str">
        <f t="shared" si="1"/>
        <v>да</v>
      </c>
    </row>
    <row r="108" spans="1:4" s="42" customFormat="1" x14ac:dyDescent="0.2">
      <c r="A108" s="108">
        <v>94</v>
      </c>
      <c r="B108" s="98" t="s">
        <v>106</v>
      </c>
      <c r="C108" s="99" t="s">
        <v>341</v>
      </c>
      <c r="D108" s="100" t="str">
        <f t="shared" si="1"/>
        <v>да</v>
      </c>
    </row>
    <row r="109" spans="1:4" s="42" customFormat="1" ht="24" x14ac:dyDescent="0.2">
      <c r="A109" s="108">
        <v>95</v>
      </c>
      <c r="B109" s="98" t="s">
        <v>107</v>
      </c>
      <c r="C109" s="109" t="s">
        <v>480</v>
      </c>
      <c r="D109" s="100" t="str">
        <f t="shared" si="1"/>
        <v>да</v>
      </c>
    </row>
    <row r="110" spans="1:4" s="42" customFormat="1" x14ac:dyDescent="0.2">
      <c r="A110" s="108">
        <v>96</v>
      </c>
      <c r="B110" s="98" t="s">
        <v>108</v>
      </c>
      <c r="C110" s="109" t="s">
        <v>481</v>
      </c>
      <c r="D110" s="100" t="str">
        <f t="shared" si="1"/>
        <v>да</v>
      </c>
    </row>
    <row r="111" spans="1:4" s="42" customFormat="1" x14ac:dyDescent="0.2">
      <c r="A111" s="108">
        <v>97</v>
      </c>
      <c r="B111" s="98" t="s">
        <v>574</v>
      </c>
      <c r="C111" s="99" t="s">
        <v>573</v>
      </c>
      <c r="D111" s="100" t="str">
        <f t="shared" si="1"/>
        <v>да</v>
      </c>
    </row>
    <row r="112" spans="1:4" s="42" customFormat="1" x14ac:dyDescent="0.2">
      <c r="A112" s="108">
        <v>98</v>
      </c>
      <c r="B112" s="98" t="s">
        <v>109</v>
      </c>
      <c r="C112" s="99" t="s">
        <v>462</v>
      </c>
      <c r="D112" s="100" t="str">
        <f t="shared" si="1"/>
        <v>да</v>
      </c>
    </row>
    <row r="113" spans="1:4" s="42" customFormat="1" x14ac:dyDescent="0.2">
      <c r="A113" s="108">
        <v>99</v>
      </c>
      <c r="B113" s="98" t="s">
        <v>110</v>
      </c>
      <c r="C113" s="99" t="s">
        <v>463</v>
      </c>
      <c r="D113" s="100" t="str">
        <f t="shared" si="1"/>
        <v>да</v>
      </c>
    </row>
    <row r="114" spans="1:4" s="42" customFormat="1" x14ac:dyDescent="0.2">
      <c r="A114" s="108">
        <v>100</v>
      </c>
      <c r="B114" s="98" t="s">
        <v>111</v>
      </c>
      <c r="C114" s="99" t="s">
        <v>112</v>
      </c>
      <c r="D114" s="100" t="str">
        <f t="shared" si="1"/>
        <v>да</v>
      </c>
    </row>
    <row r="115" spans="1:4" s="42" customFormat="1" x14ac:dyDescent="0.2">
      <c r="A115" s="108">
        <v>101</v>
      </c>
      <c r="B115" s="98" t="s">
        <v>594</v>
      </c>
      <c r="C115" s="99" t="s">
        <v>595</v>
      </c>
      <c r="D115" s="100" t="str">
        <f t="shared" si="1"/>
        <v>да</v>
      </c>
    </row>
    <row r="116" spans="1:4" s="42" customFormat="1" x14ac:dyDescent="0.2">
      <c r="A116" s="108">
        <v>102</v>
      </c>
      <c r="B116" s="98" t="s">
        <v>585</v>
      </c>
      <c r="C116" s="99" t="s">
        <v>586</v>
      </c>
      <c r="D116" s="100" t="str">
        <f t="shared" si="1"/>
        <v>да</v>
      </c>
    </row>
    <row r="117" spans="1:4" s="42" customFormat="1" x14ac:dyDescent="0.2">
      <c r="A117" s="108">
        <v>102.1</v>
      </c>
      <c r="B117" s="98" t="s">
        <v>616</v>
      </c>
      <c r="C117" s="99" t="s">
        <v>615</v>
      </c>
      <c r="D117" s="100" t="str">
        <f t="shared" si="1"/>
        <v>да</v>
      </c>
    </row>
    <row r="118" spans="1:4" s="42" customFormat="1" x14ac:dyDescent="0.2">
      <c r="A118" s="108">
        <v>103</v>
      </c>
      <c r="B118" s="98" t="s">
        <v>113</v>
      </c>
      <c r="C118" s="99" t="s">
        <v>245</v>
      </c>
      <c r="D118" s="100" t="str">
        <f t="shared" si="1"/>
        <v>да</v>
      </c>
    </row>
    <row r="119" spans="1:4" s="42" customFormat="1" x14ac:dyDescent="0.2">
      <c r="A119" s="108">
        <v>104</v>
      </c>
      <c r="B119" s="98" t="s">
        <v>114</v>
      </c>
      <c r="C119" s="99" t="s">
        <v>246</v>
      </c>
      <c r="D119" s="100" t="str">
        <f t="shared" si="1"/>
        <v>да</v>
      </c>
    </row>
    <row r="120" spans="1:4" s="42" customFormat="1" x14ac:dyDescent="0.2">
      <c r="A120" s="108">
        <v>105</v>
      </c>
      <c r="B120" s="98" t="s">
        <v>115</v>
      </c>
      <c r="C120" s="99" t="s">
        <v>365</v>
      </c>
      <c r="D120" s="100" t="str">
        <f t="shared" si="1"/>
        <v>да</v>
      </c>
    </row>
    <row r="121" spans="1:4" s="42" customFormat="1" x14ac:dyDescent="0.2">
      <c r="A121" s="108">
        <v>106</v>
      </c>
      <c r="B121" s="98" t="s">
        <v>116</v>
      </c>
      <c r="C121" s="99" t="s">
        <v>247</v>
      </c>
      <c r="D121" s="100" t="str">
        <f t="shared" si="1"/>
        <v>да</v>
      </c>
    </row>
    <row r="122" spans="1:4" s="42" customFormat="1" x14ac:dyDescent="0.2">
      <c r="A122" s="108">
        <v>107</v>
      </c>
      <c r="B122" s="98" t="s">
        <v>117</v>
      </c>
      <c r="C122" s="99" t="s">
        <v>92</v>
      </c>
      <c r="D122" s="100" t="str">
        <f t="shared" si="1"/>
        <v>да</v>
      </c>
    </row>
    <row r="123" spans="1:4" s="42" customFormat="1" x14ac:dyDescent="0.2">
      <c r="A123" s="108">
        <v>108</v>
      </c>
      <c r="B123" s="98" t="s">
        <v>118</v>
      </c>
      <c r="C123" s="99" t="s">
        <v>464</v>
      </c>
      <c r="D123" s="100" t="str">
        <f t="shared" si="1"/>
        <v>да</v>
      </c>
    </row>
    <row r="124" spans="1:4" s="42" customFormat="1" x14ac:dyDescent="0.2">
      <c r="A124" s="108">
        <v>109</v>
      </c>
      <c r="B124" s="98" t="s">
        <v>119</v>
      </c>
      <c r="C124" s="99" t="s">
        <v>465</v>
      </c>
      <c r="D124" s="100" t="str">
        <f t="shared" si="1"/>
        <v>да</v>
      </c>
    </row>
    <row r="125" spans="1:4" s="42" customFormat="1" x14ac:dyDescent="0.2">
      <c r="A125" s="108">
        <v>110</v>
      </c>
      <c r="B125" s="98" t="s">
        <v>120</v>
      </c>
      <c r="C125" s="99" t="s">
        <v>466</v>
      </c>
      <c r="D125" s="100" t="str">
        <f t="shared" si="1"/>
        <v>да</v>
      </c>
    </row>
    <row r="126" spans="1:4" s="42" customFormat="1" x14ac:dyDescent="0.2">
      <c r="A126" s="108">
        <v>111</v>
      </c>
      <c r="B126" s="98" t="s">
        <v>121</v>
      </c>
      <c r="C126" s="99" t="s">
        <v>467</v>
      </c>
      <c r="D126" s="100" t="str">
        <f t="shared" si="1"/>
        <v>да</v>
      </c>
    </row>
    <row r="127" spans="1:4" s="42" customFormat="1" x14ac:dyDescent="0.2">
      <c r="A127" s="108">
        <v>112</v>
      </c>
      <c r="B127" s="98" t="s">
        <v>111</v>
      </c>
      <c r="C127" s="99" t="s">
        <v>248</v>
      </c>
      <c r="D127" s="100" t="str">
        <f t="shared" si="1"/>
        <v>да</v>
      </c>
    </row>
    <row r="128" spans="1:4" s="42" customFormat="1" x14ac:dyDescent="0.2">
      <c r="A128" s="108">
        <v>113</v>
      </c>
      <c r="B128" s="102" t="s">
        <v>598</v>
      </c>
      <c r="C128" s="99" t="s">
        <v>596</v>
      </c>
      <c r="D128" s="100" t="str">
        <f t="shared" si="1"/>
        <v>да</v>
      </c>
    </row>
    <row r="129" spans="1:4" s="42" customFormat="1" x14ac:dyDescent="0.2">
      <c r="A129" s="108">
        <v>114</v>
      </c>
      <c r="B129" s="102" t="s">
        <v>599</v>
      </c>
      <c r="C129" s="99" t="s">
        <v>597</v>
      </c>
      <c r="D129" s="100" t="str">
        <f t="shared" si="1"/>
        <v>да</v>
      </c>
    </row>
    <row r="130" spans="1:4" s="42" customFormat="1" x14ac:dyDescent="0.2">
      <c r="A130" s="108">
        <v>115</v>
      </c>
      <c r="B130" s="98" t="s">
        <v>123</v>
      </c>
      <c r="C130" s="99" t="s">
        <v>250</v>
      </c>
      <c r="D130" s="100" t="str">
        <f t="shared" si="1"/>
        <v>да</v>
      </c>
    </row>
    <row r="131" spans="1:4" s="42" customFormat="1" x14ac:dyDescent="0.2">
      <c r="A131" s="108">
        <v>116</v>
      </c>
      <c r="B131" s="98" t="s">
        <v>124</v>
      </c>
      <c r="C131" s="99" t="s">
        <v>251</v>
      </c>
      <c r="D131" s="100" t="str">
        <f t="shared" si="1"/>
        <v>да</v>
      </c>
    </row>
    <row r="132" spans="1:4" s="42" customFormat="1" x14ac:dyDescent="0.2">
      <c r="A132" s="108">
        <v>117</v>
      </c>
      <c r="B132" s="98" t="s">
        <v>125</v>
      </c>
      <c r="C132" s="99" t="s">
        <v>252</v>
      </c>
      <c r="D132" s="100" t="str">
        <f t="shared" si="1"/>
        <v>да</v>
      </c>
    </row>
    <row r="133" spans="1:4" s="42" customFormat="1" x14ac:dyDescent="0.2">
      <c r="A133" s="108">
        <v>118</v>
      </c>
      <c r="B133" s="98" t="s">
        <v>126</v>
      </c>
      <c r="C133" s="99" t="s">
        <v>253</v>
      </c>
      <c r="D133" s="100" t="str">
        <f t="shared" si="1"/>
        <v>да</v>
      </c>
    </row>
    <row r="134" spans="1:4" s="42" customFormat="1" x14ac:dyDescent="0.2">
      <c r="A134" s="108">
        <v>119</v>
      </c>
      <c r="B134" s="98" t="s">
        <v>127</v>
      </c>
      <c r="C134" s="99" t="s">
        <v>254</v>
      </c>
      <c r="D134" s="100" t="str">
        <f t="shared" si="1"/>
        <v>да</v>
      </c>
    </row>
    <row r="135" spans="1:4" s="42" customFormat="1" x14ac:dyDescent="0.2">
      <c r="A135" s="108">
        <v>120</v>
      </c>
      <c r="B135" s="98" t="s">
        <v>128</v>
      </c>
      <c r="C135" s="99" t="s">
        <v>343</v>
      </c>
      <c r="D135" s="100" t="str">
        <f t="shared" si="1"/>
        <v>да</v>
      </c>
    </row>
    <row r="136" spans="1:4" s="42" customFormat="1" x14ac:dyDescent="0.2">
      <c r="A136" s="108">
        <v>121</v>
      </c>
      <c r="B136" s="98" t="s">
        <v>129</v>
      </c>
      <c r="C136" s="99" t="s">
        <v>255</v>
      </c>
      <c r="D136" s="100" t="str">
        <f t="shared" si="1"/>
        <v>да</v>
      </c>
    </row>
    <row r="137" spans="1:4" s="42" customFormat="1" x14ac:dyDescent="0.2">
      <c r="A137" s="108">
        <v>122</v>
      </c>
      <c r="B137" s="98" t="s">
        <v>130</v>
      </c>
      <c r="C137" s="99" t="s">
        <v>256</v>
      </c>
      <c r="D137" s="100" t="str">
        <f t="shared" si="1"/>
        <v>да</v>
      </c>
    </row>
    <row r="138" spans="1:4" s="42" customFormat="1" x14ac:dyDescent="0.2">
      <c r="A138" s="108">
        <v>123</v>
      </c>
      <c r="B138" s="98" t="s">
        <v>131</v>
      </c>
      <c r="C138" s="99" t="s">
        <v>342</v>
      </c>
      <c r="D138" s="100" t="str">
        <f t="shared" si="1"/>
        <v>да</v>
      </c>
    </row>
    <row r="139" spans="1:4" s="42" customFormat="1" x14ac:dyDescent="0.2">
      <c r="A139" s="108">
        <v>124</v>
      </c>
      <c r="B139" s="98" t="s">
        <v>132</v>
      </c>
      <c r="C139" s="99" t="s">
        <v>257</v>
      </c>
      <c r="D139" s="100" t="str">
        <f t="shared" si="1"/>
        <v>да</v>
      </c>
    </row>
    <row r="140" spans="1:4" s="42" customFormat="1" x14ac:dyDescent="0.2">
      <c r="A140" s="108">
        <v>125</v>
      </c>
      <c r="B140" s="98" t="s">
        <v>580</v>
      </c>
      <c r="C140" s="99" t="s">
        <v>579</v>
      </c>
      <c r="D140" s="100" t="str">
        <f t="shared" si="1"/>
        <v>да</v>
      </c>
    </row>
    <row r="141" spans="1:4" s="42" customFormat="1" x14ac:dyDescent="0.2">
      <c r="A141" s="108">
        <v>126</v>
      </c>
      <c r="B141" s="98" t="s">
        <v>601</v>
      </c>
      <c r="C141" s="99" t="s">
        <v>600</v>
      </c>
      <c r="D141" s="100" t="str">
        <f t="shared" si="1"/>
        <v>да</v>
      </c>
    </row>
    <row r="142" spans="1:4" s="42" customFormat="1" x14ac:dyDescent="0.2">
      <c r="A142" s="108">
        <v>127</v>
      </c>
      <c r="B142" s="98"/>
      <c r="C142" s="99"/>
      <c r="D142" s="100" t="str">
        <f t="shared" si="1"/>
        <v>нет</v>
      </c>
    </row>
    <row r="143" spans="1:4" s="42" customFormat="1" x14ac:dyDescent="0.2">
      <c r="A143" s="108">
        <v>128</v>
      </c>
      <c r="B143" s="98"/>
      <c r="C143" s="99"/>
      <c r="D143" s="100" t="str">
        <f t="shared" si="1"/>
        <v>нет</v>
      </c>
    </row>
    <row r="144" spans="1:4" s="42" customFormat="1" x14ac:dyDescent="0.2">
      <c r="A144" s="108">
        <v>129</v>
      </c>
      <c r="B144" s="98" t="s">
        <v>581</v>
      </c>
      <c r="C144" s="99" t="s">
        <v>582</v>
      </c>
      <c r="D144" s="100" t="str">
        <f t="shared" si="1"/>
        <v>да</v>
      </c>
    </row>
    <row r="145" spans="1:4" s="42" customFormat="1" x14ac:dyDescent="0.2">
      <c r="A145" s="108">
        <v>130</v>
      </c>
      <c r="B145" s="98" t="s">
        <v>133</v>
      </c>
      <c r="C145" s="99" t="s">
        <v>253</v>
      </c>
      <c r="D145" s="100" t="str">
        <f t="shared" ref="D145:D221" si="2">IF(C145&lt;&gt;"","да","нет")</f>
        <v>да</v>
      </c>
    </row>
    <row r="146" spans="1:4" s="42" customFormat="1" x14ac:dyDescent="0.2">
      <c r="A146" s="108">
        <v>131</v>
      </c>
      <c r="B146" s="98" t="s">
        <v>134</v>
      </c>
      <c r="C146" s="99" t="s">
        <v>252</v>
      </c>
      <c r="D146" s="100" t="str">
        <f t="shared" si="2"/>
        <v>да</v>
      </c>
    </row>
    <row r="147" spans="1:4" s="42" customFormat="1" x14ac:dyDescent="0.2">
      <c r="A147" s="108">
        <v>132</v>
      </c>
      <c r="B147" s="98" t="s">
        <v>135</v>
      </c>
      <c r="C147" s="99" t="s">
        <v>258</v>
      </c>
      <c r="D147" s="100" t="str">
        <f t="shared" si="2"/>
        <v>да</v>
      </c>
    </row>
    <row r="148" spans="1:4" s="42" customFormat="1" x14ac:dyDescent="0.2">
      <c r="A148" s="108">
        <v>133</v>
      </c>
      <c r="B148" s="98" t="s">
        <v>136</v>
      </c>
      <c r="C148" s="99" t="s">
        <v>259</v>
      </c>
      <c r="D148" s="100" t="str">
        <f t="shared" si="2"/>
        <v>да</v>
      </c>
    </row>
    <row r="149" spans="1:4" s="42" customFormat="1" x14ac:dyDescent="0.2">
      <c r="A149" s="108">
        <v>134</v>
      </c>
      <c r="B149" s="98" t="s">
        <v>572</v>
      </c>
      <c r="C149" s="99" t="s">
        <v>569</v>
      </c>
      <c r="D149" s="100" t="str">
        <f t="shared" si="2"/>
        <v>да</v>
      </c>
    </row>
    <row r="150" spans="1:4" s="42" customFormat="1" x14ac:dyDescent="0.2">
      <c r="A150" s="108">
        <v>134.1</v>
      </c>
      <c r="B150" s="98" t="s">
        <v>571</v>
      </c>
      <c r="C150" s="99" t="s">
        <v>570</v>
      </c>
      <c r="D150" s="100" t="str">
        <f t="shared" si="2"/>
        <v>да</v>
      </c>
    </row>
    <row r="151" spans="1:4" s="42" customFormat="1" x14ac:dyDescent="0.2">
      <c r="A151" s="108">
        <v>135</v>
      </c>
      <c r="B151" s="98" t="s">
        <v>31</v>
      </c>
      <c r="C151" s="99" t="s">
        <v>50</v>
      </c>
      <c r="D151" s="100" t="str">
        <f t="shared" si="2"/>
        <v>да</v>
      </c>
    </row>
    <row r="152" spans="1:4" s="42" customFormat="1" x14ac:dyDescent="0.2">
      <c r="A152" s="108">
        <v>136</v>
      </c>
      <c r="B152" s="98" t="s">
        <v>137</v>
      </c>
      <c r="C152" s="99" t="s">
        <v>344</v>
      </c>
      <c r="D152" s="100" t="str">
        <f t="shared" si="2"/>
        <v>да</v>
      </c>
    </row>
    <row r="153" spans="1:4" s="42" customFormat="1" x14ac:dyDescent="0.2">
      <c r="A153" s="108">
        <v>137</v>
      </c>
      <c r="B153" s="98" t="s">
        <v>613</v>
      </c>
      <c r="C153" s="99" t="s">
        <v>614</v>
      </c>
      <c r="D153" s="100" t="str">
        <f t="shared" si="2"/>
        <v>да</v>
      </c>
    </row>
    <row r="154" spans="1:4" s="42" customFormat="1" x14ac:dyDescent="0.2">
      <c r="A154" s="108">
        <v>138</v>
      </c>
      <c r="B154" s="98" t="s">
        <v>510</v>
      </c>
      <c r="C154" s="99" t="s">
        <v>509</v>
      </c>
      <c r="D154" s="100" t="str">
        <f t="shared" si="2"/>
        <v>да</v>
      </c>
    </row>
    <row r="155" spans="1:4" s="42" customFormat="1" x14ac:dyDescent="0.2">
      <c r="A155" s="108">
        <v>139</v>
      </c>
      <c r="B155" s="98" t="s">
        <v>512</v>
      </c>
      <c r="C155" s="99" t="s">
        <v>511</v>
      </c>
      <c r="D155" s="100" t="str">
        <f t="shared" si="2"/>
        <v>да</v>
      </c>
    </row>
    <row r="156" spans="1:4" s="42" customFormat="1" x14ac:dyDescent="0.2">
      <c r="A156" s="110">
        <v>139.1</v>
      </c>
      <c r="B156" s="102" t="s">
        <v>369</v>
      </c>
      <c r="C156" s="102" t="s">
        <v>364</v>
      </c>
      <c r="D156" s="103" t="str">
        <f t="shared" si="2"/>
        <v>да</v>
      </c>
    </row>
    <row r="157" spans="1:4" s="42" customFormat="1" x14ac:dyDescent="0.2">
      <c r="A157" s="108">
        <v>140</v>
      </c>
      <c r="B157" s="111" t="s">
        <v>380</v>
      </c>
      <c r="C157" s="99" t="s">
        <v>345</v>
      </c>
      <c r="D157" s="100" t="str">
        <f t="shared" si="2"/>
        <v>да</v>
      </c>
    </row>
    <row r="158" spans="1:4" s="42" customFormat="1" x14ac:dyDescent="0.2">
      <c r="A158" s="108">
        <v>141</v>
      </c>
      <c r="B158" s="98" t="s">
        <v>122</v>
      </c>
      <c r="C158" s="99" t="s">
        <v>249</v>
      </c>
      <c r="D158" s="100" t="str">
        <f t="shared" si="2"/>
        <v>да</v>
      </c>
    </row>
    <row r="159" spans="1:4" s="42" customFormat="1" x14ac:dyDescent="0.2">
      <c r="A159" s="108">
        <v>142</v>
      </c>
      <c r="B159" s="98" t="s">
        <v>138</v>
      </c>
      <c r="C159" s="99" t="s">
        <v>352</v>
      </c>
      <c r="D159" s="100" t="str">
        <f t="shared" si="2"/>
        <v>да</v>
      </c>
    </row>
    <row r="160" spans="1:4" s="42" customFormat="1" x14ac:dyDescent="0.2">
      <c r="A160" s="108">
        <v>143</v>
      </c>
      <c r="B160" s="98" t="s">
        <v>123</v>
      </c>
      <c r="C160" s="99" t="s">
        <v>250</v>
      </c>
      <c r="D160" s="100" t="str">
        <f t="shared" si="2"/>
        <v>да</v>
      </c>
    </row>
    <row r="161" spans="1:4" s="42" customFormat="1" x14ac:dyDescent="0.2">
      <c r="A161" s="108">
        <v>144</v>
      </c>
      <c r="B161" s="98" t="s">
        <v>124</v>
      </c>
      <c r="C161" s="99" t="s">
        <v>251</v>
      </c>
      <c r="D161" s="100" t="str">
        <f t="shared" si="2"/>
        <v>да</v>
      </c>
    </row>
    <row r="162" spans="1:4" s="42" customFormat="1" x14ac:dyDescent="0.2">
      <c r="A162" s="112">
        <v>145</v>
      </c>
      <c r="B162" s="98" t="s">
        <v>9</v>
      </c>
      <c r="C162" s="99" t="s">
        <v>10</v>
      </c>
      <c r="D162" s="100" t="str">
        <f t="shared" si="2"/>
        <v>да</v>
      </c>
    </row>
    <row r="163" spans="1:4" s="42" customFormat="1" x14ac:dyDescent="0.2">
      <c r="A163" s="112">
        <v>146</v>
      </c>
      <c r="B163" s="98" t="s">
        <v>371</v>
      </c>
      <c r="C163" s="99" t="s">
        <v>260</v>
      </c>
      <c r="D163" s="100" t="str">
        <f t="shared" si="2"/>
        <v>да</v>
      </c>
    </row>
    <row r="164" spans="1:4" s="42" customFormat="1" x14ac:dyDescent="0.2">
      <c r="A164" s="112">
        <v>147</v>
      </c>
      <c r="B164" s="98" t="s">
        <v>139</v>
      </c>
      <c r="C164" s="99" t="s">
        <v>261</v>
      </c>
      <c r="D164" s="100" t="str">
        <f t="shared" si="2"/>
        <v>да</v>
      </c>
    </row>
    <row r="165" spans="1:4" s="42" customFormat="1" x14ac:dyDescent="0.2">
      <c r="A165" s="112">
        <v>148</v>
      </c>
      <c r="B165" s="98" t="s">
        <v>140</v>
      </c>
      <c r="C165" s="99" t="s">
        <v>262</v>
      </c>
      <c r="D165" s="100" t="str">
        <f t="shared" si="2"/>
        <v>да</v>
      </c>
    </row>
    <row r="166" spans="1:4" s="42" customFormat="1" x14ac:dyDescent="0.2">
      <c r="A166" s="112">
        <v>149</v>
      </c>
      <c r="B166" s="113" t="s">
        <v>141</v>
      </c>
      <c r="C166" s="99" t="s">
        <v>476</v>
      </c>
      <c r="D166" s="100" t="str">
        <f t="shared" si="2"/>
        <v>да</v>
      </c>
    </row>
    <row r="167" spans="1:4" s="42" customFormat="1" x14ac:dyDescent="0.2">
      <c r="A167" s="112">
        <v>150</v>
      </c>
      <c r="B167" s="98" t="s">
        <v>549</v>
      </c>
      <c r="C167" s="99" t="s">
        <v>545</v>
      </c>
      <c r="D167" s="100" t="str">
        <f t="shared" si="2"/>
        <v>да</v>
      </c>
    </row>
    <row r="168" spans="1:4" s="42" customFormat="1" x14ac:dyDescent="0.2">
      <c r="A168" s="112">
        <v>151</v>
      </c>
      <c r="B168" s="98" t="s">
        <v>552</v>
      </c>
      <c r="C168" s="99" t="s">
        <v>546</v>
      </c>
      <c r="D168" s="100" t="str">
        <f t="shared" si="2"/>
        <v>да</v>
      </c>
    </row>
    <row r="169" spans="1:4" s="42" customFormat="1" x14ac:dyDescent="0.2">
      <c r="A169" s="112">
        <v>152</v>
      </c>
      <c r="B169" s="98" t="s">
        <v>551</v>
      </c>
      <c r="C169" s="99" t="s">
        <v>547</v>
      </c>
      <c r="D169" s="100" t="str">
        <f t="shared" si="2"/>
        <v>да</v>
      </c>
    </row>
    <row r="170" spans="1:4" s="42" customFormat="1" x14ac:dyDescent="0.2">
      <c r="A170" s="112">
        <v>153</v>
      </c>
      <c r="B170" s="98" t="s">
        <v>550</v>
      </c>
      <c r="C170" s="99" t="s">
        <v>548</v>
      </c>
      <c r="D170" s="100" t="str">
        <f t="shared" si="2"/>
        <v>да</v>
      </c>
    </row>
    <row r="171" spans="1:4" s="42" customFormat="1" x14ac:dyDescent="0.2">
      <c r="A171" s="112">
        <v>154</v>
      </c>
      <c r="B171" s="98"/>
      <c r="C171" s="99"/>
      <c r="D171" s="100" t="str">
        <f t="shared" si="2"/>
        <v>нет</v>
      </c>
    </row>
    <row r="172" spans="1:4" s="42" customFormat="1" x14ac:dyDescent="0.2">
      <c r="A172" s="112">
        <v>155</v>
      </c>
      <c r="B172" s="98"/>
      <c r="C172" s="99"/>
      <c r="D172" s="100" t="str">
        <f t="shared" si="2"/>
        <v>нет</v>
      </c>
    </row>
    <row r="173" spans="1:4" s="42" customFormat="1" x14ac:dyDescent="0.2">
      <c r="A173" s="112">
        <v>156</v>
      </c>
      <c r="B173" s="98" t="s">
        <v>560</v>
      </c>
      <c r="C173" s="99" t="s">
        <v>559</v>
      </c>
      <c r="D173" s="100" t="str">
        <f t="shared" si="2"/>
        <v>да</v>
      </c>
    </row>
    <row r="174" spans="1:4" s="42" customFormat="1" x14ac:dyDescent="0.2">
      <c r="A174" s="112">
        <v>157</v>
      </c>
      <c r="B174" s="98" t="s">
        <v>142</v>
      </c>
      <c r="C174" s="99" t="s">
        <v>263</v>
      </c>
      <c r="D174" s="100" t="str">
        <f t="shared" si="2"/>
        <v>да</v>
      </c>
    </row>
    <row r="175" spans="1:4" s="42" customFormat="1" x14ac:dyDescent="0.2">
      <c r="A175" s="112">
        <v>158</v>
      </c>
      <c r="B175" s="98" t="s">
        <v>143</v>
      </c>
      <c r="C175" s="99" t="s">
        <v>264</v>
      </c>
      <c r="D175" s="100" t="str">
        <f t="shared" si="2"/>
        <v>да</v>
      </c>
    </row>
    <row r="176" spans="1:4" s="42" customFormat="1" x14ac:dyDescent="0.2">
      <c r="A176" s="112">
        <v>159</v>
      </c>
      <c r="B176" s="98" t="s">
        <v>144</v>
      </c>
      <c r="C176" s="99" t="s">
        <v>265</v>
      </c>
      <c r="D176" s="100" t="str">
        <f t="shared" si="2"/>
        <v>да</v>
      </c>
    </row>
    <row r="177" spans="1:4" s="42" customFormat="1" x14ac:dyDescent="0.2">
      <c r="A177" s="112">
        <v>160</v>
      </c>
      <c r="B177" s="98" t="s">
        <v>145</v>
      </c>
      <c r="C177" s="99" t="s">
        <v>266</v>
      </c>
      <c r="D177" s="100" t="str">
        <f t="shared" si="2"/>
        <v>да</v>
      </c>
    </row>
    <row r="178" spans="1:4" s="42" customFormat="1" x14ac:dyDescent="0.2">
      <c r="A178" s="114">
        <v>161</v>
      </c>
      <c r="B178" s="98" t="s">
        <v>11</v>
      </c>
      <c r="C178" s="99" t="s">
        <v>12</v>
      </c>
      <c r="D178" s="100" t="str">
        <f t="shared" si="2"/>
        <v>да</v>
      </c>
    </row>
    <row r="179" spans="1:4" s="42" customFormat="1" x14ac:dyDescent="0.2">
      <c r="A179" s="114">
        <v>162</v>
      </c>
      <c r="B179" s="98" t="s">
        <v>146</v>
      </c>
      <c r="C179" s="99" t="s">
        <v>267</v>
      </c>
      <c r="D179" s="100" t="str">
        <f t="shared" si="2"/>
        <v>да</v>
      </c>
    </row>
    <row r="180" spans="1:4" s="42" customFormat="1" x14ac:dyDescent="0.2">
      <c r="A180" s="114">
        <v>163</v>
      </c>
      <c r="B180" s="98" t="s">
        <v>498</v>
      </c>
      <c r="C180" s="99" t="s">
        <v>268</v>
      </c>
      <c r="D180" s="100" t="str">
        <f t="shared" si="2"/>
        <v>да</v>
      </c>
    </row>
    <row r="181" spans="1:4" s="42" customFormat="1" x14ac:dyDescent="0.2">
      <c r="A181" s="114">
        <v>164</v>
      </c>
      <c r="B181" s="98" t="s">
        <v>499</v>
      </c>
      <c r="C181" s="99" t="s">
        <v>269</v>
      </c>
      <c r="D181" s="100" t="str">
        <f t="shared" si="2"/>
        <v>да</v>
      </c>
    </row>
    <row r="182" spans="1:4" s="42" customFormat="1" x14ac:dyDescent="0.2">
      <c r="A182" s="114">
        <v>165</v>
      </c>
      <c r="B182" s="98" t="s">
        <v>486</v>
      </c>
      <c r="C182" s="99" t="s">
        <v>270</v>
      </c>
      <c r="D182" s="100" t="str">
        <f t="shared" si="2"/>
        <v>да</v>
      </c>
    </row>
    <row r="183" spans="1:4" s="42" customFormat="1" x14ac:dyDescent="0.2">
      <c r="A183" s="114">
        <v>166</v>
      </c>
      <c r="B183" s="98" t="s">
        <v>147</v>
      </c>
      <c r="C183" s="99" t="s">
        <v>271</v>
      </c>
      <c r="D183" s="100" t="str">
        <f t="shared" si="2"/>
        <v>да</v>
      </c>
    </row>
    <row r="184" spans="1:4" s="42" customFormat="1" x14ac:dyDescent="0.2">
      <c r="A184" s="114">
        <v>167</v>
      </c>
      <c r="B184" s="98" t="s">
        <v>148</v>
      </c>
      <c r="C184" s="99" t="s">
        <v>396</v>
      </c>
      <c r="D184" s="100" t="str">
        <f t="shared" si="2"/>
        <v>да</v>
      </c>
    </row>
    <row r="185" spans="1:4" s="42" customFormat="1" x14ac:dyDescent="0.2">
      <c r="A185" s="114">
        <v>168</v>
      </c>
      <c r="B185" s="98" t="s">
        <v>487</v>
      </c>
      <c r="C185" s="99" t="s">
        <v>482</v>
      </c>
      <c r="D185" s="100" t="str">
        <f t="shared" si="2"/>
        <v>да</v>
      </c>
    </row>
    <row r="186" spans="1:4" s="42" customFormat="1" x14ac:dyDescent="0.2">
      <c r="A186" s="114">
        <v>169</v>
      </c>
      <c r="B186" s="98" t="s">
        <v>483</v>
      </c>
      <c r="C186" s="99" t="s">
        <v>468</v>
      </c>
      <c r="D186" s="100" t="str">
        <f t="shared" si="2"/>
        <v>да</v>
      </c>
    </row>
    <row r="187" spans="1:4" s="42" customFormat="1" x14ac:dyDescent="0.2">
      <c r="A187" s="114">
        <v>170</v>
      </c>
      <c r="B187" s="98" t="s">
        <v>484</v>
      </c>
      <c r="C187" s="99" t="s">
        <v>485</v>
      </c>
      <c r="D187" s="100" t="str">
        <f t="shared" si="2"/>
        <v>да</v>
      </c>
    </row>
    <row r="188" spans="1:4" s="42" customFormat="1" x14ac:dyDescent="0.2">
      <c r="A188" s="114">
        <v>171</v>
      </c>
      <c r="B188" s="98" t="s">
        <v>149</v>
      </c>
      <c r="C188" s="99" t="s">
        <v>272</v>
      </c>
      <c r="D188" s="100" t="str">
        <f t="shared" si="2"/>
        <v>да</v>
      </c>
    </row>
    <row r="189" spans="1:4" s="42" customFormat="1" x14ac:dyDescent="0.2">
      <c r="A189" s="114">
        <v>172</v>
      </c>
      <c r="B189" s="98" t="s">
        <v>150</v>
      </c>
      <c r="C189" s="99" t="s">
        <v>273</v>
      </c>
      <c r="D189" s="100" t="str">
        <f t="shared" si="2"/>
        <v>да</v>
      </c>
    </row>
    <row r="190" spans="1:4" s="42" customFormat="1" x14ac:dyDescent="0.2">
      <c r="A190" s="101">
        <v>173</v>
      </c>
      <c r="B190" s="102" t="s">
        <v>490</v>
      </c>
      <c r="C190" s="102" t="s">
        <v>411</v>
      </c>
      <c r="D190" s="103" t="str">
        <f t="shared" si="2"/>
        <v>да</v>
      </c>
    </row>
    <row r="191" spans="1:4" s="42" customFormat="1" x14ac:dyDescent="0.2">
      <c r="A191" s="115">
        <v>174</v>
      </c>
      <c r="B191" s="98" t="s">
        <v>151</v>
      </c>
      <c r="C191" s="99" t="s">
        <v>305</v>
      </c>
      <c r="D191" s="100" t="str">
        <f t="shared" si="2"/>
        <v>да</v>
      </c>
    </row>
    <row r="192" spans="1:4" s="42" customFormat="1" x14ac:dyDescent="0.2">
      <c r="A192" s="115">
        <v>175</v>
      </c>
      <c r="B192" s="98" t="s">
        <v>152</v>
      </c>
      <c r="C192" s="99" t="s">
        <v>274</v>
      </c>
      <c r="D192" s="100" t="str">
        <f t="shared" si="2"/>
        <v>да</v>
      </c>
    </row>
    <row r="193" spans="1:4" s="42" customFormat="1" x14ac:dyDescent="0.2">
      <c r="A193" s="115">
        <v>176</v>
      </c>
      <c r="B193" s="98" t="s">
        <v>29</v>
      </c>
      <c r="C193" s="99" t="s">
        <v>275</v>
      </c>
      <c r="D193" s="100" t="str">
        <f t="shared" si="2"/>
        <v>да</v>
      </c>
    </row>
    <row r="194" spans="1:4" s="42" customFormat="1" x14ac:dyDescent="0.2">
      <c r="A194" s="115">
        <v>177</v>
      </c>
      <c r="B194" s="98" t="s">
        <v>153</v>
      </c>
      <c r="C194" s="99" t="s">
        <v>276</v>
      </c>
      <c r="D194" s="100" t="str">
        <f t="shared" si="2"/>
        <v>да</v>
      </c>
    </row>
    <row r="195" spans="1:4" s="42" customFormat="1" x14ac:dyDescent="0.2">
      <c r="A195" s="115">
        <v>178</v>
      </c>
      <c r="B195" s="98" t="s">
        <v>904</v>
      </c>
      <c r="C195" s="99" t="s">
        <v>934</v>
      </c>
      <c r="D195" s="100" t="str">
        <f t="shared" si="2"/>
        <v>да</v>
      </c>
    </row>
    <row r="196" spans="1:4" s="42" customFormat="1" x14ac:dyDescent="0.2">
      <c r="A196" s="115">
        <v>179</v>
      </c>
      <c r="B196" s="98" t="s">
        <v>154</v>
      </c>
      <c r="C196" s="99" t="s">
        <v>277</v>
      </c>
      <c r="D196" s="100" t="str">
        <f t="shared" si="2"/>
        <v>да</v>
      </c>
    </row>
    <row r="197" spans="1:4" s="42" customFormat="1" x14ac:dyDescent="0.2">
      <c r="A197" s="115">
        <v>180</v>
      </c>
      <c r="B197" s="98" t="s">
        <v>155</v>
      </c>
      <c r="C197" s="99" t="s">
        <v>278</v>
      </c>
      <c r="D197" s="100" t="str">
        <f t="shared" si="2"/>
        <v>да</v>
      </c>
    </row>
    <row r="198" spans="1:4" s="42" customFormat="1" x14ac:dyDescent="0.2">
      <c r="A198" s="115">
        <v>181</v>
      </c>
      <c r="B198" s="98" t="s">
        <v>892</v>
      </c>
      <c r="C198" s="99" t="s">
        <v>891</v>
      </c>
      <c r="D198" s="100" t="str">
        <f t="shared" si="2"/>
        <v>да</v>
      </c>
    </row>
    <row r="199" spans="1:4" s="42" customFormat="1" x14ac:dyDescent="0.2">
      <c r="A199" s="115">
        <v>181.1</v>
      </c>
      <c r="B199" s="98" t="s">
        <v>735</v>
      </c>
      <c r="C199" s="99" t="s">
        <v>829</v>
      </c>
      <c r="D199" s="100" t="str">
        <f>IF(C199&lt;&gt;"","да","нет")</f>
        <v>да</v>
      </c>
    </row>
    <row r="200" spans="1:4" s="42" customFormat="1" x14ac:dyDescent="0.2">
      <c r="A200" s="115">
        <v>181.2</v>
      </c>
      <c r="B200" s="98" t="s">
        <v>967</v>
      </c>
      <c r="C200" s="99" t="s">
        <v>935</v>
      </c>
      <c r="D200" s="100" t="str">
        <f>IF(C200&lt;&gt;"","да","нет")</f>
        <v>да</v>
      </c>
    </row>
    <row r="201" spans="1:4" s="42" customFormat="1" x14ac:dyDescent="0.2">
      <c r="A201" s="115">
        <v>182</v>
      </c>
      <c r="B201" s="98" t="s">
        <v>156</v>
      </c>
      <c r="C201" s="99" t="s">
        <v>279</v>
      </c>
      <c r="D201" s="100" t="str">
        <f t="shared" si="2"/>
        <v>да</v>
      </c>
    </row>
    <row r="202" spans="1:4" s="42" customFormat="1" x14ac:dyDescent="0.2">
      <c r="A202" s="115">
        <v>183</v>
      </c>
      <c r="B202" s="98" t="s">
        <v>157</v>
      </c>
      <c r="C202" s="99" t="s">
        <v>280</v>
      </c>
      <c r="D202" s="100" t="str">
        <f t="shared" si="2"/>
        <v>да</v>
      </c>
    </row>
    <row r="203" spans="1:4" s="42" customFormat="1" x14ac:dyDescent="0.2">
      <c r="A203" s="115">
        <v>184.1</v>
      </c>
      <c r="B203" s="98" t="s">
        <v>535</v>
      </c>
      <c r="C203" s="99" t="s">
        <v>534</v>
      </c>
      <c r="D203" s="100" t="str">
        <f t="shared" si="2"/>
        <v>да</v>
      </c>
    </row>
    <row r="204" spans="1:4" s="42" customFormat="1" x14ac:dyDescent="0.2">
      <c r="A204" s="115">
        <v>184.2</v>
      </c>
      <c r="B204" s="98" t="s">
        <v>609</v>
      </c>
      <c r="C204" s="99" t="s">
        <v>610</v>
      </c>
      <c r="D204" s="100" t="str">
        <f t="shared" si="2"/>
        <v>да</v>
      </c>
    </row>
    <row r="205" spans="1:4" s="42" customFormat="1" x14ac:dyDescent="0.2">
      <c r="A205" s="115">
        <v>184.3</v>
      </c>
      <c r="B205" s="98" t="s">
        <v>536</v>
      </c>
      <c r="C205" s="99" t="s">
        <v>537</v>
      </c>
      <c r="D205" s="100" t="str">
        <f t="shared" si="2"/>
        <v>да</v>
      </c>
    </row>
    <row r="206" spans="1:4" s="42" customFormat="1" x14ac:dyDescent="0.2">
      <c r="A206" s="115">
        <v>184.4</v>
      </c>
      <c r="B206" s="98" t="s">
        <v>542</v>
      </c>
      <c r="C206" s="99" t="s">
        <v>539</v>
      </c>
      <c r="D206" s="100" t="s">
        <v>367</v>
      </c>
    </row>
    <row r="207" spans="1:4" s="42" customFormat="1" x14ac:dyDescent="0.2">
      <c r="A207" s="115">
        <v>184</v>
      </c>
      <c r="B207" s="98" t="s">
        <v>158</v>
      </c>
      <c r="C207" s="99" t="s">
        <v>281</v>
      </c>
      <c r="D207" s="100" t="str">
        <f t="shared" si="2"/>
        <v>да</v>
      </c>
    </row>
    <row r="208" spans="1:4" s="42" customFormat="1" x14ac:dyDescent="0.2">
      <c r="A208" s="115">
        <v>184.5</v>
      </c>
      <c r="B208" s="98" t="s">
        <v>811</v>
      </c>
      <c r="C208" s="99" t="s">
        <v>810</v>
      </c>
      <c r="D208" s="100"/>
    </row>
    <row r="209" spans="1:4" s="42" customFormat="1" x14ac:dyDescent="0.2">
      <c r="A209" s="115">
        <v>185</v>
      </c>
      <c r="B209" s="98" t="s">
        <v>840</v>
      </c>
      <c r="C209" s="99" t="s">
        <v>839</v>
      </c>
      <c r="D209" s="100" t="str">
        <f t="shared" si="2"/>
        <v>да</v>
      </c>
    </row>
    <row r="210" spans="1:4" s="42" customFormat="1" x14ac:dyDescent="0.2">
      <c r="A210" s="115">
        <v>185.1</v>
      </c>
      <c r="B210" s="98" t="s">
        <v>813</v>
      </c>
      <c r="C210" s="99" t="s">
        <v>812</v>
      </c>
      <c r="D210" s="100"/>
    </row>
    <row r="211" spans="1:4" s="42" customFormat="1" x14ac:dyDescent="0.2">
      <c r="A211" s="115">
        <v>186</v>
      </c>
      <c r="B211" s="98" t="s">
        <v>690</v>
      </c>
      <c r="C211" s="99" t="s">
        <v>524</v>
      </c>
      <c r="D211" s="100" t="str">
        <f t="shared" si="2"/>
        <v>да</v>
      </c>
    </row>
    <row r="212" spans="1:4" s="42" customFormat="1" x14ac:dyDescent="0.2">
      <c r="A212" s="115">
        <v>187</v>
      </c>
      <c r="B212" s="111" t="s">
        <v>757</v>
      </c>
      <c r="C212" s="99" t="s">
        <v>756</v>
      </c>
      <c r="D212" s="100" t="str">
        <f t="shared" si="2"/>
        <v>да</v>
      </c>
    </row>
    <row r="213" spans="1:4" s="42" customFormat="1" x14ac:dyDescent="0.2">
      <c r="A213" s="115">
        <v>187.1</v>
      </c>
      <c r="B213" s="111" t="s">
        <v>776</v>
      </c>
      <c r="C213" s="99" t="s">
        <v>775</v>
      </c>
      <c r="D213" s="100" t="str">
        <f t="shared" si="2"/>
        <v>да</v>
      </c>
    </row>
    <row r="214" spans="1:4" s="42" customFormat="1" x14ac:dyDescent="0.2">
      <c r="A214" s="115">
        <v>187.2</v>
      </c>
      <c r="B214" s="111" t="s">
        <v>842</v>
      </c>
      <c r="C214" s="99" t="s">
        <v>841</v>
      </c>
      <c r="D214" s="100"/>
    </row>
    <row r="215" spans="1:4" s="42" customFormat="1" x14ac:dyDescent="0.2">
      <c r="A215" s="115">
        <v>187.3</v>
      </c>
      <c r="B215" s="111" t="s">
        <v>878</v>
      </c>
      <c r="C215" s="99" t="s">
        <v>877</v>
      </c>
      <c r="D215" s="100" t="s">
        <v>367</v>
      </c>
    </row>
    <row r="216" spans="1:4" s="42" customFormat="1" ht="24" x14ac:dyDescent="0.2">
      <c r="A216" s="115">
        <v>188</v>
      </c>
      <c r="B216" s="98" t="s">
        <v>679</v>
      </c>
      <c r="C216" s="109" t="s">
        <v>678</v>
      </c>
      <c r="D216" s="100" t="str">
        <f t="shared" si="2"/>
        <v>да</v>
      </c>
    </row>
    <row r="217" spans="1:4" s="42" customFormat="1" x14ac:dyDescent="0.2">
      <c r="A217" s="115">
        <v>189</v>
      </c>
      <c r="B217" s="98" t="s">
        <v>159</v>
      </c>
      <c r="C217" s="99" t="s">
        <v>282</v>
      </c>
      <c r="D217" s="100" t="str">
        <f t="shared" si="2"/>
        <v>да</v>
      </c>
    </row>
    <row r="218" spans="1:4" s="42" customFormat="1" x14ac:dyDescent="0.2">
      <c r="A218" s="107">
        <v>190</v>
      </c>
      <c r="B218" s="98" t="s">
        <v>514</v>
      </c>
      <c r="C218" s="99" t="s">
        <v>489</v>
      </c>
      <c r="D218" s="100" t="str">
        <f t="shared" si="2"/>
        <v>да</v>
      </c>
    </row>
    <row r="219" spans="1:4" s="42" customFormat="1" x14ac:dyDescent="0.2">
      <c r="A219" s="115">
        <v>191</v>
      </c>
      <c r="B219" s="98" t="s">
        <v>160</v>
      </c>
      <c r="C219" s="99" t="s">
        <v>283</v>
      </c>
      <c r="D219" s="100" t="str">
        <f t="shared" si="2"/>
        <v>да</v>
      </c>
    </row>
    <row r="220" spans="1:4" s="42" customFormat="1" x14ac:dyDescent="0.2">
      <c r="A220" s="115">
        <v>192</v>
      </c>
      <c r="B220" s="98" t="s">
        <v>346</v>
      </c>
      <c r="C220" s="99" t="s">
        <v>347</v>
      </c>
      <c r="D220" s="100" t="str">
        <f t="shared" si="2"/>
        <v>да</v>
      </c>
    </row>
    <row r="221" spans="1:4" s="42" customFormat="1" x14ac:dyDescent="0.2">
      <c r="A221" s="115">
        <v>193</v>
      </c>
      <c r="B221" s="98" t="s">
        <v>161</v>
      </c>
      <c r="C221" s="99" t="s">
        <v>284</v>
      </c>
      <c r="D221" s="100" t="str">
        <f t="shared" si="2"/>
        <v>да</v>
      </c>
    </row>
    <row r="222" spans="1:4" s="42" customFormat="1" x14ac:dyDescent="0.2">
      <c r="A222" s="115">
        <v>194</v>
      </c>
      <c r="B222" s="98" t="s">
        <v>162</v>
      </c>
      <c r="C222" s="99" t="s">
        <v>285</v>
      </c>
      <c r="D222" s="100" t="str">
        <f t="shared" ref="D222:D296" si="3">IF(C222&lt;&gt;"","да","нет")</f>
        <v>да</v>
      </c>
    </row>
    <row r="223" spans="1:4" s="42" customFormat="1" x14ac:dyDescent="0.2">
      <c r="A223" s="115">
        <v>195</v>
      </c>
      <c r="B223" s="98" t="s">
        <v>38</v>
      </c>
      <c r="C223" s="99" t="s">
        <v>55</v>
      </c>
      <c r="D223" s="100" t="str">
        <f t="shared" si="3"/>
        <v>да</v>
      </c>
    </row>
    <row r="224" spans="1:4" s="42" customFormat="1" x14ac:dyDescent="0.2">
      <c r="A224" s="115">
        <v>196</v>
      </c>
      <c r="B224" s="98" t="s">
        <v>39</v>
      </c>
      <c r="C224" s="99" t="s">
        <v>56</v>
      </c>
      <c r="D224" s="100" t="str">
        <f t="shared" si="3"/>
        <v>да</v>
      </c>
    </row>
    <row r="225" spans="1:4" s="42" customFormat="1" x14ac:dyDescent="0.2">
      <c r="A225" s="115">
        <v>197</v>
      </c>
      <c r="B225" s="98" t="s">
        <v>469</v>
      </c>
      <c r="C225" s="99" t="s">
        <v>470</v>
      </c>
      <c r="D225" s="100" t="str">
        <f t="shared" si="3"/>
        <v>да</v>
      </c>
    </row>
    <row r="226" spans="1:4" s="42" customFormat="1" x14ac:dyDescent="0.2">
      <c r="A226" s="116">
        <v>197.5</v>
      </c>
      <c r="B226" s="98" t="s">
        <v>471</v>
      </c>
      <c r="C226" s="99" t="s">
        <v>472</v>
      </c>
      <c r="D226" s="100" t="str">
        <f t="shared" si="3"/>
        <v>да</v>
      </c>
    </row>
    <row r="227" spans="1:4" s="42" customFormat="1" x14ac:dyDescent="0.2">
      <c r="A227" s="116">
        <v>197.6</v>
      </c>
      <c r="B227" s="117" t="s">
        <v>765</v>
      </c>
      <c r="C227" s="99" t="s">
        <v>766</v>
      </c>
      <c r="D227" s="100" t="str">
        <f t="shared" si="3"/>
        <v>да</v>
      </c>
    </row>
    <row r="228" spans="1:4" s="42" customFormat="1" x14ac:dyDescent="0.2">
      <c r="A228" s="115">
        <v>198</v>
      </c>
      <c r="B228" s="98" t="s">
        <v>163</v>
      </c>
      <c r="C228" s="99" t="s">
        <v>286</v>
      </c>
      <c r="D228" s="100" t="str">
        <f t="shared" si="3"/>
        <v>да</v>
      </c>
    </row>
    <row r="229" spans="1:4" s="42" customFormat="1" x14ac:dyDescent="0.2">
      <c r="A229" s="115">
        <v>199</v>
      </c>
      <c r="B229" s="98" t="s">
        <v>164</v>
      </c>
      <c r="C229" s="99" t="s">
        <v>287</v>
      </c>
      <c r="D229" s="100" t="str">
        <f t="shared" si="3"/>
        <v>да</v>
      </c>
    </row>
    <row r="230" spans="1:4" s="42" customFormat="1" x14ac:dyDescent="0.2">
      <c r="A230" s="115">
        <v>200</v>
      </c>
      <c r="B230" s="98" t="s">
        <v>165</v>
      </c>
      <c r="C230" s="99" t="s">
        <v>288</v>
      </c>
      <c r="D230" s="100" t="str">
        <f t="shared" si="3"/>
        <v>да</v>
      </c>
    </row>
    <row r="231" spans="1:4" s="42" customFormat="1" x14ac:dyDescent="0.2">
      <c r="A231" s="115">
        <v>201</v>
      </c>
      <c r="B231" s="98" t="s">
        <v>408</v>
      </c>
      <c r="C231" s="99" t="s">
        <v>407</v>
      </c>
      <c r="D231" s="100" t="str">
        <f t="shared" si="3"/>
        <v>да</v>
      </c>
    </row>
    <row r="232" spans="1:4" s="42" customFormat="1" x14ac:dyDescent="0.2">
      <c r="A232" s="115">
        <v>202</v>
      </c>
      <c r="B232" s="98" t="s">
        <v>618</v>
      </c>
      <c r="C232" s="99" t="s">
        <v>617</v>
      </c>
      <c r="D232" s="100" t="str">
        <f t="shared" si="3"/>
        <v>да</v>
      </c>
    </row>
    <row r="233" spans="1:4" s="42" customFormat="1" x14ac:dyDescent="0.2">
      <c r="A233" s="115">
        <v>203</v>
      </c>
      <c r="B233" s="98" t="s">
        <v>166</v>
      </c>
      <c r="C233" s="99" t="s">
        <v>397</v>
      </c>
      <c r="D233" s="100" t="str">
        <f t="shared" si="3"/>
        <v>да</v>
      </c>
    </row>
    <row r="234" spans="1:4" s="42" customFormat="1" x14ac:dyDescent="0.2">
      <c r="A234" s="115">
        <v>204</v>
      </c>
      <c r="B234" s="98" t="s">
        <v>167</v>
      </c>
      <c r="C234" s="99" t="s">
        <v>289</v>
      </c>
      <c r="D234" s="100" t="str">
        <f t="shared" si="3"/>
        <v>да</v>
      </c>
    </row>
    <row r="235" spans="1:4" s="42" customFormat="1" x14ac:dyDescent="0.2">
      <c r="A235" s="115">
        <v>205</v>
      </c>
      <c r="B235" s="98" t="s">
        <v>168</v>
      </c>
      <c r="C235" s="99" t="s">
        <v>290</v>
      </c>
      <c r="D235" s="100" t="str">
        <f t="shared" si="3"/>
        <v>да</v>
      </c>
    </row>
    <row r="236" spans="1:4" s="42" customFormat="1" x14ac:dyDescent="0.2">
      <c r="A236" s="118">
        <v>206</v>
      </c>
      <c r="B236" s="98" t="s">
        <v>506</v>
      </c>
      <c r="C236" s="99" t="s">
        <v>13</v>
      </c>
      <c r="D236" s="100" t="str">
        <f t="shared" si="3"/>
        <v>да</v>
      </c>
    </row>
    <row r="237" spans="1:4" s="42" customFormat="1" x14ac:dyDescent="0.2">
      <c r="A237" s="118">
        <v>207</v>
      </c>
      <c r="B237" s="98" t="s">
        <v>169</v>
      </c>
      <c r="C237" s="99" t="s">
        <v>291</v>
      </c>
      <c r="D237" s="100" t="str">
        <f t="shared" si="3"/>
        <v>да</v>
      </c>
    </row>
    <row r="238" spans="1:4" s="42" customFormat="1" x14ac:dyDescent="0.2">
      <c r="A238" s="118">
        <v>208</v>
      </c>
      <c r="B238" s="98" t="s">
        <v>636</v>
      </c>
      <c r="C238" s="99" t="s">
        <v>637</v>
      </c>
      <c r="D238" s="100" t="str">
        <f t="shared" si="3"/>
        <v>да</v>
      </c>
    </row>
    <row r="239" spans="1:4" s="42" customFormat="1" x14ac:dyDescent="0.2">
      <c r="A239" s="118">
        <v>209</v>
      </c>
      <c r="B239" s="98" t="s">
        <v>170</v>
      </c>
      <c r="C239" s="99" t="s">
        <v>292</v>
      </c>
      <c r="D239" s="100" t="str">
        <f t="shared" si="3"/>
        <v>да</v>
      </c>
    </row>
    <row r="240" spans="1:4" s="42" customFormat="1" x14ac:dyDescent="0.2">
      <c r="A240" s="118">
        <v>210</v>
      </c>
      <c r="B240" s="98" t="s">
        <v>171</v>
      </c>
      <c r="C240" s="99" t="s">
        <v>293</v>
      </c>
      <c r="D240" s="100" t="str">
        <f t="shared" si="3"/>
        <v>да</v>
      </c>
    </row>
    <row r="241" spans="1:4" s="42" customFormat="1" x14ac:dyDescent="0.2">
      <c r="A241" s="118">
        <v>211</v>
      </c>
      <c r="B241" s="98" t="s">
        <v>172</v>
      </c>
      <c r="C241" s="99" t="s">
        <v>294</v>
      </c>
      <c r="D241" s="100" t="str">
        <f t="shared" si="3"/>
        <v>да</v>
      </c>
    </row>
    <row r="242" spans="1:4" s="42" customFormat="1" x14ac:dyDescent="0.2">
      <c r="A242" s="118">
        <v>212</v>
      </c>
      <c r="B242" s="98" t="s">
        <v>173</v>
      </c>
      <c r="C242" s="99" t="s">
        <v>295</v>
      </c>
      <c r="D242" s="100" t="str">
        <f t="shared" si="3"/>
        <v>да</v>
      </c>
    </row>
    <row r="243" spans="1:4" s="42" customFormat="1" x14ac:dyDescent="0.2">
      <c r="A243" s="118">
        <v>213</v>
      </c>
      <c r="B243" s="98" t="s">
        <v>174</v>
      </c>
      <c r="C243" s="99" t="s">
        <v>296</v>
      </c>
      <c r="D243" s="100" t="str">
        <f t="shared" si="3"/>
        <v>да</v>
      </c>
    </row>
    <row r="244" spans="1:4" s="42" customFormat="1" x14ac:dyDescent="0.2">
      <c r="A244" s="118">
        <v>214</v>
      </c>
      <c r="B244" s="98" t="s">
        <v>175</v>
      </c>
      <c r="C244" s="99" t="s">
        <v>297</v>
      </c>
      <c r="D244" s="100" t="str">
        <f t="shared" si="3"/>
        <v>да</v>
      </c>
    </row>
    <row r="245" spans="1:4" s="42" customFormat="1" ht="12.75" x14ac:dyDescent="0.2">
      <c r="A245" s="118">
        <v>215</v>
      </c>
      <c r="B245" s="98" t="s">
        <v>591</v>
      </c>
      <c r="C245" s="99" t="s">
        <v>298</v>
      </c>
      <c r="D245" s="100" t="str">
        <f t="shared" si="3"/>
        <v>да</v>
      </c>
    </row>
    <row r="246" spans="1:4" s="42" customFormat="1" x14ac:dyDescent="0.2">
      <c r="A246" s="118">
        <v>216</v>
      </c>
      <c r="B246" s="98" t="s">
        <v>176</v>
      </c>
      <c r="C246" s="99" t="s">
        <v>299</v>
      </c>
      <c r="D246" s="100" t="str">
        <f t="shared" si="3"/>
        <v>да</v>
      </c>
    </row>
    <row r="247" spans="1:4" s="42" customFormat="1" x14ac:dyDescent="0.2">
      <c r="A247" s="118">
        <v>217</v>
      </c>
      <c r="B247" s="98" t="s">
        <v>503</v>
      </c>
      <c r="C247" s="99" t="s">
        <v>278</v>
      </c>
      <c r="D247" s="100" t="str">
        <f t="shared" si="3"/>
        <v>да</v>
      </c>
    </row>
    <row r="248" spans="1:4" s="42" customFormat="1" x14ac:dyDescent="0.2">
      <c r="A248" s="118">
        <v>218</v>
      </c>
      <c r="B248" s="98" t="s">
        <v>171</v>
      </c>
      <c r="C248" s="99" t="s">
        <v>300</v>
      </c>
      <c r="D248" s="100" t="str">
        <f t="shared" si="3"/>
        <v>да</v>
      </c>
    </row>
    <row r="249" spans="1:4" s="42" customFormat="1" x14ac:dyDescent="0.2">
      <c r="A249" s="118">
        <v>219</v>
      </c>
      <c r="B249" s="98" t="s">
        <v>169</v>
      </c>
      <c r="C249" s="99" t="s">
        <v>301</v>
      </c>
      <c r="D249" s="100" t="str">
        <f t="shared" si="3"/>
        <v>да</v>
      </c>
    </row>
    <row r="250" spans="1:4" s="42" customFormat="1" x14ac:dyDescent="0.2">
      <c r="A250" s="118">
        <v>220</v>
      </c>
      <c r="B250" s="98" t="s">
        <v>177</v>
      </c>
      <c r="C250" s="99" t="s">
        <v>302</v>
      </c>
      <c r="D250" s="100" t="str">
        <f t="shared" si="3"/>
        <v>да</v>
      </c>
    </row>
    <row r="251" spans="1:4" s="42" customFormat="1" x14ac:dyDescent="0.2">
      <c r="A251" s="118">
        <v>220.1</v>
      </c>
      <c r="B251" s="98" t="s">
        <v>602</v>
      </c>
      <c r="C251" s="99" t="s">
        <v>583</v>
      </c>
      <c r="D251" s="100" t="str">
        <f t="shared" si="3"/>
        <v>да</v>
      </c>
    </row>
    <row r="252" spans="1:4" s="42" customFormat="1" x14ac:dyDescent="0.2">
      <c r="A252" s="118">
        <v>221</v>
      </c>
      <c r="B252" s="98" t="s">
        <v>178</v>
      </c>
      <c r="C252" s="99" t="s">
        <v>303</v>
      </c>
      <c r="D252" s="100" t="str">
        <f t="shared" si="3"/>
        <v>да</v>
      </c>
    </row>
    <row r="253" spans="1:4" s="42" customFormat="1" x14ac:dyDescent="0.2">
      <c r="A253" s="118">
        <v>222</v>
      </c>
      <c r="B253" s="98" t="s">
        <v>30</v>
      </c>
      <c r="C253" s="99" t="s">
        <v>304</v>
      </c>
      <c r="D253" s="100" t="str">
        <f t="shared" si="3"/>
        <v>да</v>
      </c>
    </row>
    <row r="254" spans="1:4" s="42" customFormat="1" x14ac:dyDescent="0.2">
      <c r="A254" s="118">
        <v>223</v>
      </c>
      <c r="B254" s="98" t="s">
        <v>151</v>
      </c>
      <c r="C254" s="99" t="s">
        <v>305</v>
      </c>
      <c r="D254" s="100" t="str">
        <f t="shared" si="3"/>
        <v>да</v>
      </c>
    </row>
    <row r="255" spans="1:4" s="42" customFormat="1" x14ac:dyDescent="0.2">
      <c r="A255" s="118">
        <v>224</v>
      </c>
      <c r="B255" s="98" t="s">
        <v>179</v>
      </c>
      <c r="C255" s="99" t="s">
        <v>306</v>
      </c>
      <c r="D255" s="100" t="str">
        <f t="shared" si="3"/>
        <v>да</v>
      </c>
    </row>
    <row r="256" spans="1:4" s="42" customFormat="1" x14ac:dyDescent="0.2">
      <c r="A256" s="118">
        <v>225</v>
      </c>
      <c r="B256" s="98" t="s">
        <v>180</v>
      </c>
      <c r="C256" s="99" t="s">
        <v>307</v>
      </c>
      <c r="D256" s="100" t="str">
        <f t="shared" si="3"/>
        <v>да</v>
      </c>
    </row>
    <row r="257" spans="1:4" s="42" customFormat="1" x14ac:dyDescent="0.2">
      <c r="A257" s="118">
        <v>226</v>
      </c>
      <c r="B257" s="98" t="s">
        <v>181</v>
      </c>
      <c r="C257" s="99" t="s">
        <v>308</v>
      </c>
      <c r="D257" s="100" t="str">
        <f t="shared" si="3"/>
        <v>да</v>
      </c>
    </row>
    <row r="258" spans="1:4" s="42" customFormat="1" x14ac:dyDescent="0.2">
      <c r="A258" s="118">
        <v>227</v>
      </c>
      <c r="B258" s="98" t="s">
        <v>182</v>
      </c>
      <c r="C258" s="99" t="s">
        <v>211</v>
      </c>
      <c r="D258" s="100" t="str">
        <f t="shared" si="3"/>
        <v>да</v>
      </c>
    </row>
    <row r="259" spans="1:4" s="42" customFormat="1" x14ac:dyDescent="0.2">
      <c r="A259" s="118">
        <v>228</v>
      </c>
      <c r="B259" s="98" t="s">
        <v>502</v>
      </c>
      <c r="C259" s="99" t="s">
        <v>309</v>
      </c>
      <c r="D259" s="100" t="str">
        <f t="shared" si="3"/>
        <v>да</v>
      </c>
    </row>
    <row r="260" spans="1:4" s="42" customFormat="1" x14ac:dyDescent="0.2">
      <c r="A260" s="118">
        <v>229</v>
      </c>
      <c r="B260" s="98" t="s">
        <v>504</v>
      </c>
      <c r="C260" s="99" t="s">
        <v>274</v>
      </c>
      <c r="D260" s="100" t="str">
        <f t="shared" si="3"/>
        <v>да</v>
      </c>
    </row>
    <row r="261" spans="1:4" s="42" customFormat="1" x14ac:dyDescent="0.2">
      <c r="A261" s="118">
        <v>230</v>
      </c>
      <c r="B261" s="98" t="s">
        <v>183</v>
      </c>
      <c r="C261" s="99" t="s">
        <v>310</v>
      </c>
      <c r="D261" s="100" t="str">
        <f t="shared" si="3"/>
        <v>да</v>
      </c>
    </row>
    <row r="262" spans="1:4" s="42" customFormat="1" x14ac:dyDescent="0.2">
      <c r="A262" s="118">
        <v>231</v>
      </c>
      <c r="B262" s="98" t="s">
        <v>184</v>
      </c>
      <c r="C262" s="99" t="s">
        <v>311</v>
      </c>
      <c r="D262" s="100" t="str">
        <f t="shared" si="3"/>
        <v>да</v>
      </c>
    </row>
    <row r="263" spans="1:4" s="42" customFormat="1" x14ac:dyDescent="0.2">
      <c r="A263" s="118">
        <v>232</v>
      </c>
      <c r="B263" s="98" t="s">
        <v>185</v>
      </c>
      <c r="C263" s="99" t="s">
        <v>312</v>
      </c>
      <c r="D263" s="100" t="str">
        <f t="shared" si="3"/>
        <v>да</v>
      </c>
    </row>
    <row r="264" spans="1:4" s="42" customFormat="1" x14ac:dyDescent="0.2">
      <c r="A264" s="119">
        <v>232.1</v>
      </c>
      <c r="B264" s="98" t="s">
        <v>374</v>
      </c>
      <c r="C264" s="99" t="s">
        <v>298</v>
      </c>
      <c r="D264" s="100" t="str">
        <f t="shared" si="3"/>
        <v>да</v>
      </c>
    </row>
    <row r="265" spans="1:4" s="42" customFormat="1" x14ac:dyDescent="0.2">
      <c r="A265" s="118">
        <v>233</v>
      </c>
      <c r="B265" s="98" t="s">
        <v>186</v>
      </c>
      <c r="C265" s="99" t="s">
        <v>313</v>
      </c>
      <c r="D265" s="100" t="str">
        <f t="shared" si="3"/>
        <v>да</v>
      </c>
    </row>
    <row r="266" spans="1:4" s="42" customFormat="1" x14ac:dyDescent="0.2">
      <c r="A266" s="118">
        <v>234</v>
      </c>
      <c r="B266" s="98" t="s">
        <v>626</v>
      </c>
      <c r="C266" s="99" t="s">
        <v>627</v>
      </c>
      <c r="D266" s="100" t="str">
        <f t="shared" si="3"/>
        <v>да</v>
      </c>
    </row>
    <row r="267" spans="1:4" s="42" customFormat="1" x14ac:dyDescent="0.2">
      <c r="A267" s="118">
        <v>235</v>
      </c>
      <c r="B267" s="98" t="s">
        <v>187</v>
      </c>
      <c r="C267" s="99" t="s">
        <v>314</v>
      </c>
      <c r="D267" s="100" t="str">
        <f t="shared" si="3"/>
        <v>да</v>
      </c>
    </row>
    <row r="268" spans="1:4" s="42" customFormat="1" x14ac:dyDescent="0.2">
      <c r="A268" s="118">
        <v>236</v>
      </c>
      <c r="B268" s="98" t="s">
        <v>505</v>
      </c>
      <c r="C268" s="99" t="s">
        <v>315</v>
      </c>
      <c r="D268" s="100" t="str">
        <f t="shared" si="3"/>
        <v>да</v>
      </c>
    </row>
    <row r="269" spans="1:4" s="42" customFormat="1" x14ac:dyDescent="0.2">
      <c r="A269" s="118">
        <v>236.1</v>
      </c>
      <c r="B269" s="98" t="s">
        <v>605</v>
      </c>
      <c r="C269" s="99" t="s">
        <v>590</v>
      </c>
      <c r="D269" s="100" t="str">
        <f t="shared" si="3"/>
        <v>да</v>
      </c>
    </row>
    <row r="270" spans="1:4" s="42" customFormat="1" x14ac:dyDescent="0.2">
      <c r="A270" s="118">
        <v>236.2</v>
      </c>
      <c r="B270" s="98" t="s">
        <v>604</v>
      </c>
      <c r="C270" s="99" t="s">
        <v>592</v>
      </c>
      <c r="D270" s="100" t="str">
        <f t="shared" si="3"/>
        <v>да</v>
      </c>
    </row>
    <row r="271" spans="1:4" s="42" customFormat="1" x14ac:dyDescent="0.2">
      <c r="A271" s="118">
        <v>236.3</v>
      </c>
      <c r="B271" s="98" t="s">
        <v>603</v>
      </c>
      <c r="C271" s="99" t="s">
        <v>593</v>
      </c>
      <c r="D271" s="100"/>
    </row>
    <row r="272" spans="1:4" s="42" customFormat="1" x14ac:dyDescent="0.2">
      <c r="A272" s="118">
        <v>237</v>
      </c>
      <c r="B272" s="98" t="s">
        <v>188</v>
      </c>
      <c r="C272" s="99" t="s">
        <v>589</v>
      </c>
      <c r="D272" s="100" t="str">
        <f t="shared" si="3"/>
        <v>да</v>
      </c>
    </row>
    <row r="273" spans="1:4" s="42" customFormat="1" x14ac:dyDescent="0.2">
      <c r="A273" s="118">
        <v>238</v>
      </c>
      <c r="B273" s="98" t="s">
        <v>695</v>
      </c>
      <c r="C273" s="99" t="s">
        <v>692</v>
      </c>
      <c r="D273" s="100" t="str">
        <f t="shared" si="3"/>
        <v>да</v>
      </c>
    </row>
    <row r="274" spans="1:4" s="42" customFormat="1" x14ac:dyDescent="0.2">
      <c r="A274" s="118">
        <v>239</v>
      </c>
      <c r="B274" s="98" t="s">
        <v>189</v>
      </c>
      <c r="C274" s="99" t="s">
        <v>317</v>
      </c>
      <c r="D274" s="100" t="str">
        <f t="shared" si="3"/>
        <v>да</v>
      </c>
    </row>
    <row r="275" spans="1:4" s="42" customFormat="1" x14ac:dyDescent="0.2">
      <c r="A275" s="118">
        <v>240</v>
      </c>
      <c r="B275" s="98" t="s">
        <v>587</v>
      </c>
      <c r="C275" s="99" t="s">
        <v>588</v>
      </c>
      <c r="D275" s="100" t="str">
        <f t="shared" si="3"/>
        <v>да</v>
      </c>
    </row>
    <row r="276" spans="1:4" s="42" customFormat="1" x14ac:dyDescent="0.2">
      <c r="A276" s="118">
        <v>241</v>
      </c>
      <c r="B276" s="98" t="s">
        <v>190</v>
      </c>
      <c r="C276" s="99" t="s">
        <v>318</v>
      </c>
      <c r="D276" s="100" t="str">
        <f t="shared" si="3"/>
        <v>да</v>
      </c>
    </row>
    <row r="277" spans="1:4" s="42" customFormat="1" ht="62.25" customHeight="1" x14ac:dyDescent="0.2">
      <c r="A277" s="118">
        <v>242</v>
      </c>
      <c r="B277" s="120" t="s">
        <v>507</v>
      </c>
      <c r="C277" s="109" t="s">
        <v>319</v>
      </c>
      <c r="D277" s="100" t="str">
        <f t="shared" si="3"/>
        <v>да</v>
      </c>
    </row>
    <row r="278" spans="1:4" s="42" customFormat="1" x14ac:dyDescent="0.2">
      <c r="A278" s="118">
        <v>243</v>
      </c>
      <c r="B278" s="98" t="s">
        <v>473</v>
      </c>
      <c r="C278" s="99" t="s">
        <v>474</v>
      </c>
      <c r="D278" s="100" t="str">
        <f t="shared" si="3"/>
        <v>да</v>
      </c>
    </row>
    <row r="279" spans="1:4" s="42" customFormat="1" x14ac:dyDescent="0.2">
      <c r="A279" s="118">
        <v>243.5</v>
      </c>
      <c r="B279" s="98" t="s">
        <v>527</v>
      </c>
      <c r="C279" s="99" t="s">
        <v>528</v>
      </c>
      <c r="D279" s="100" t="str">
        <f t="shared" si="3"/>
        <v>да</v>
      </c>
    </row>
    <row r="280" spans="1:4" s="42" customFormat="1" x14ac:dyDescent="0.2">
      <c r="A280" s="118">
        <v>243.7</v>
      </c>
      <c r="B280" s="98" t="s">
        <v>529</v>
      </c>
      <c r="C280" s="99" t="s">
        <v>530</v>
      </c>
      <c r="D280" s="100" t="str">
        <f t="shared" si="3"/>
        <v>да</v>
      </c>
    </row>
    <row r="281" spans="1:4" s="42" customFormat="1" x14ac:dyDescent="0.2">
      <c r="A281" s="118">
        <v>244</v>
      </c>
      <c r="B281" s="98" t="s">
        <v>191</v>
      </c>
      <c r="C281" s="99" t="s">
        <v>320</v>
      </c>
      <c r="D281" s="100" t="str">
        <f t="shared" si="3"/>
        <v>да</v>
      </c>
    </row>
    <row r="282" spans="1:4" s="42" customFormat="1" x14ac:dyDescent="0.2">
      <c r="A282" s="118">
        <v>245</v>
      </c>
      <c r="B282" s="98" t="s">
        <v>94</v>
      </c>
      <c r="C282" s="99" t="s">
        <v>321</v>
      </c>
      <c r="D282" s="100" t="str">
        <f t="shared" si="3"/>
        <v>да</v>
      </c>
    </row>
    <row r="283" spans="1:4" s="42" customFormat="1" x14ac:dyDescent="0.2">
      <c r="A283" s="118">
        <v>246</v>
      </c>
      <c r="B283" s="98" t="s">
        <v>525</v>
      </c>
      <c r="C283" s="99" t="s">
        <v>526</v>
      </c>
      <c r="D283" s="100" t="str">
        <f t="shared" si="3"/>
        <v>да</v>
      </c>
    </row>
    <row r="284" spans="1:4" s="42" customFormat="1" x14ac:dyDescent="0.2">
      <c r="A284" s="118">
        <v>247</v>
      </c>
      <c r="B284" s="98" t="s">
        <v>183</v>
      </c>
      <c r="C284" s="99" t="s">
        <v>322</v>
      </c>
      <c r="D284" s="100" t="str">
        <f t="shared" si="3"/>
        <v>да</v>
      </c>
    </row>
    <row r="285" spans="1:4" s="42" customFormat="1" x14ac:dyDescent="0.2">
      <c r="A285" s="118">
        <v>248</v>
      </c>
      <c r="B285" s="98" t="s">
        <v>192</v>
      </c>
      <c r="C285" s="99" t="s">
        <v>323</v>
      </c>
      <c r="D285" s="100" t="str">
        <f t="shared" si="3"/>
        <v>да</v>
      </c>
    </row>
    <row r="286" spans="1:4" s="42" customFormat="1" x14ac:dyDescent="0.2">
      <c r="A286" s="118">
        <v>248.5</v>
      </c>
      <c r="B286" s="98" t="s">
        <v>77</v>
      </c>
      <c r="C286" s="99" t="s">
        <v>218</v>
      </c>
      <c r="D286" s="100" t="str">
        <f t="shared" si="3"/>
        <v>да</v>
      </c>
    </row>
    <row r="287" spans="1:4" s="42" customFormat="1" x14ac:dyDescent="0.2">
      <c r="A287" s="118">
        <v>249</v>
      </c>
      <c r="B287" s="98" t="s">
        <v>193</v>
      </c>
      <c r="C287" s="99" t="s">
        <v>324</v>
      </c>
      <c r="D287" s="100" t="str">
        <f t="shared" si="3"/>
        <v>да</v>
      </c>
    </row>
    <row r="288" spans="1:4" s="42" customFormat="1" x14ac:dyDescent="0.2">
      <c r="A288" s="118">
        <v>250</v>
      </c>
      <c r="B288" s="98" t="s">
        <v>348</v>
      </c>
      <c r="C288" s="99" t="s">
        <v>349</v>
      </c>
      <c r="D288" s="100" t="str">
        <f t="shared" si="3"/>
        <v>да</v>
      </c>
    </row>
    <row r="289" spans="1:4" s="42" customFormat="1" x14ac:dyDescent="0.2">
      <c r="A289" s="118">
        <v>251</v>
      </c>
      <c r="B289" s="111" t="s">
        <v>350</v>
      </c>
      <c r="C289" s="99" t="s">
        <v>351</v>
      </c>
      <c r="D289" s="100" t="str">
        <f t="shared" si="3"/>
        <v>да</v>
      </c>
    </row>
    <row r="290" spans="1:4" s="42" customFormat="1" x14ac:dyDescent="0.2">
      <c r="A290" s="118">
        <v>252</v>
      </c>
      <c r="B290" s="98" t="s">
        <v>508</v>
      </c>
      <c r="C290" s="99" t="s">
        <v>325</v>
      </c>
      <c r="D290" s="100" t="str">
        <f t="shared" si="3"/>
        <v>да</v>
      </c>
    </row>
    <row r="291" spans="1:4" s="42" customFormat="1" x14ac:dyDescent="0.2">
      <c r="A291" s="106">
        <v>253</v>
      </c>
      <c r="B291" s="98" t="s">
        <v>14</v>
      </c>
      <c r="C291" s="99" t="s">
        <v>387</v>
      </c>
      <c r="D291" s="100" t="str">
        <f t="shared" si="3"/>
        <v>да</v>
      </c>
    </row>
    <row r="292" spans="1:4" s="42" customFormat="1" x14ac:dyDescent="0.2">
      <c r="A292" s="106">
        <v>254</v>
      </c>
      <c r="B292" s="98" t="s">
        <v>927</v>
      </c>
      <c r="C292" s="99" t="s">
        <v>856</v>
      </c>
      <c r="D292" s="100" t="str">
        <f t="shared" si="3"/>
        <v>да</v>
      </c>
    </row>
    <row r="293" spans="1:4" s="42" customFormat="1" x14ac:dyDescent="0.2">
      <c r="A293" s="106">
        <v>255</v>
      </c>
      <c r="B293" s="98" t="s">
        <v>622</v>
      </c>
      <c r="C293" s="99" t="s">
        <v>623</v>
      </c>
      <c r="D293" s="100" t="str">
        <f t="shared" si="3"/>
        <v>да</v>
      </c>
    </row>
    <row r="294" spans="1:4" s="42" customFormat="1" x14ac:dyDescent="0.2">
      <c r="A294" s="106">
        <v>256</v>
      </c>
      <c r="B294" s="98" t="s">
        <v>194</v>
      </c>
      <c r="C294" s="99" t="s">
        <v>326</v>
      </c>
      <c r="D294" s="100" t="str">
        <f t="shared" si="3"/>
        <v>да</v>
      </c>
    </row>
    <row r="295" spans="1:4" s="42" customFormat="1" x14ac:dyDescent="0.2">
      <c r="A295" s="101">
        <v>256.10000000000002</v>
      </c>
      <c r="B295" s="102" t="s">
        <v>556</v>
      </c>
      <c r="C295" s="102" t="s">
        <v>553</v>
      </c>
      <c r="D295" s="103" t="str">
        <f t="shared" si="3"/>
        <v>да</v>
      </c>
    </row>
    <row r="296" spans="1:4" s="42" customFormat="1" x14ac:dyDescent="0.2">
      <c r="A296" s="106">
        <v>257</v>
      </c>
      <c r="B296" s="98" t="s">
        <v>621</v>
      </c>
      <c r="C296" s="99" t="s">
        <v>584</v>
      </c>
      <c r="D296" s="100" t="str">
        <f t="shared" si="3"/>
        <v>да</v>
      </c>
    </row>
    <row r="297" spans="1:4" s="42" customFormat="1" x14ac:dyDescent="0.2">
      <c r="A297" s="106">
        <v>258</v>
      </c>
      <c r="B297" s="98" t="s">
        <v>540</v>
      </c>
      <c r="C297" s="99" t="s">
        <v>541</v>
      </c>
      <c r="D297" s="100" t="str">
        <f t="shared" ref="D297:D381" si="4">IF(C297&lt;&gt;"","да","нет")</f>
        <v>да</v>
      </c>
    </row>
    <row r="298" spans="1:4" s="42" customFormat="1" x14ac:dyDescent="0.2">
      <c r="A298" s="106">
        <v>259</v>
      </c>
      <c r="B298" s="111" t="s">
        <v>638</v>
      </c>
      <c r="C298" s="121" t="s">
        <v>640</v>
      </c>
      <c r="D298" s="100" t="str">
        <f t="shared" si="4"/>
        <v>да</v>
      </c>
    </row>
    <row r="299" spans="1:4" s="42" customFormat="1" x14ac:dyDescent="0.2">
      <c r="A299" s="106">
        <v>260</v>
      </c>
      <c r="B299" s="98" t="s">
        <v>531</v>
      </c>
      <c r="C299" s="99" t="s">
        <v>513</v>
      </c>
      <c r="D299" s="100" t="str">
        <f t="shared" si="4"/>
        <v>да</v>
      </c>
    </row>
    <row r="300" spans="1:4" s="42" customFormat="1" x14ac:dyDescent="0.2">
      <c r="A300" s="106">
        <v>261</v>
      </c>
      <c r="B300" s="98" t="s">
        <v>538</v>
      </c>
      <c r="C300" s="99" t="s">
        <v>519</v>
      </c>
      <c r="D300" s="100" t="str">
        <f t="shared" si="4"/>
        <v>да</v>
      </c>
    </row>
    <row r="301" spans="1:4" s="42" customFormat="1" x14ac:dyDescent="0.2">
      <c r="A301" s="106">
        <v>262</v>
      </c>
      <c r="B301" s="98" t="s">
        <v>932</v>
      </c>
      <c r="C301" s="99" t="s">
        <v>931</v>
      </c>
      <c r="D301" s="100" t="str">
        <f t="shared" si="4"/>
        <v>да</v>
      </c>
    </row>
    <row r="302" spans="1:4" s="42" customFormat="1" x14ac:dyDescent="0.2">
      <c r="A302" s="106">
        <v>263</v>
      </c>
      <c r="B302" s="98" t="s">
        <v>540</v>
      </c>
      <c r="C302" s="99" t="s">
        <v>541</v>
      </c>
      <c r="D302" s="100" t="str">
        <f t="shared" si="4"/>
        <v>да</v>
      </c>
    </row>
    <row r="303" spans="1:4" s="42" customFormat="1" x14ac:dyDescent="0.2">
      <c r="A303" s="106">
        <v>264</v>
      </c>
      <c r="B303" s="111" t="s">
        <v>639</v>
      </c>
      <c r="C303" s="121" t="s">
        <v>584</v>
      </c>
      <c r="D303" s="100" t="str">
        <f t="shared" si="4"/>
        <v>да</v>
      </c>
    </row>
    <row r="304" spans="1:4" s="42" customFormat="1" x14ac:dyDescent="0.2">
      <c r="A304" s="106">
        <v>265</v>
      </c>
      <c r="B304" s="98" t="s">
        <v>354</v>
      </c>
      <c r="C304" s="99" t="s">
        <v>382</v>
      </c>
      <c r="D304" s="100" t="str">
        <f t="shared" si="4"/>
        <v>да</v>
      </c>
    </row>
    <row r="305" spans="1:4" s="42" customFormat="1" x14ac:dyDescent="0.2">
      <c r="A305" s="106">
        <v>266</v>
      </c>
      <c r="B305" s="98" t="s">
        <v>355</v>
      </c>
      <c r="C305" s="99" t="s">
        <v>226</v>
      </c>
      <c r="D305" s="100" t="str">
        <f t="shared" si="4"/>
        <v>да</v>
      </c>
    </row>
    <row r="306" spans="1:4" s="42" customFormat="1" x14ac:dyDescent="0.2">
      <c r="A306" s="106">
        <v>267</v>
      </c>
      <c r="B306" s="98" t="s">
        <v>744</v>
      </c>
      <c r="C306" s="99" t="s">
        <v>409</v>
      </c>
      <c r="D306" s="100" t="str">
        <f t="shared" si="4"/>
        <v>да</v>
      </c>
    </row>
    <row r="307" spans="1:4" s="42" customFormat="1" x14ac:dyDescent="0.2">
      <c r="A307" s="106">
        <v>267.10000000000002</v>
      </c>
      <c r="B307" s="98" t="s">
        <v>703</v>
      </c>
      <c r="C307" s="99" t="s">
        <v>702</v>
      </c>
      <c r="D307" s="100" t="str">
        <f>IF(C307&lt;&gt;"","да","нет")</f>
        <v>да</v>
      </c>
    </row>
    <row r="308" spans="1:4" s="42" customFormat="1" x14ac:dyDescent="0.2">
      <c r="A308" s="106">
        <v>268</v>
      </c>
      <c r="B308" s="98" t="s">
        <v>3</v>
      </c>
      <c r="C308" s="99" t="s">
        <v>227</v>
      </c>
      <c r="D308" s="100" t="str">
        <f t="shared" si="4"/>
        <v>да</v>
      </c>
    </row>
    <row r="309" spans="1:4" s="42" customFormat="1" x14ac:dyDescent="0.2">
      <c r="A309" s="108">
        <v>270</v>
      </c>
      <c r="B309" s="98" t="s">
        <v>15</v>
      </c>
      <c r="C309" s="99" t="s">
        <v>16</v>
      </c>
      <c r="D309" s="100" t="str">
        <f t="shared" si="4"/>
        <v>да</v>
      </c>
    </row>
    <row r="310" spans="1:4" s="42" customFormat="1" x14ac:dyDescent="0.2">
      <c r="A310" s="108">
        <v>271</v>
      </c>
      <c r="B310" s="98" t="s">
        <v>0</v>
      </c>
      <c r="C310" s="99" t="s">
        <v>353</v>
      </c>
      <c r="D310" s="100" t="str">
        <f t="shared" si="4"/>
        <v>да</v>
      </c>
    </row>
    <row r="311" spans="1:4" s="42" customFormat="1" x14ac:dyDescent="0.2">
      <c r="A311" s="108">
        <v>272</v>
      </c>
      <c r="B311" s="98" t="s">
        <v>195</v>
      </c>
      <c r="C311" s="99" t="s">
        <v>327</v>
      </c>
      <c r="D311" s="100" t="str">
        <f t="shared" si="4"/>
        <v>да</v>
      </c>
    </row>
    <row r="312" spans="1:4" s="42" customFormat="1" x14ac:dyDescent="0.2">
      <c r="A312" s="108">
        <v>273</v>
      </c>
      <c r="B312" s="98" t="s">
        <v>196</v>
      </c>
      <c r="C312" s="99" t="s">
        <v>328</v>
      </c>
      <c r="D312" s="100" t="str">
        <f t="shared" si="4"/>
        <v>да</v>
      </c>
    </row>
    <row r="313" spans="1:4" s="42" customFormat="1" x14ac:dyDescent="0.2">
      <c r="A313" s="108">
        <v>274</v>
      </c>
      <c r="B313" s="98" t="s">
        <v>197</v>
      </c>
      <c r="C313" s="99" t="s">
        <v>329</v>
      </c>
      <c r="D313" s="100" t="str">
        <f t="shared" si="4"/>
        <v>да</v>
      </c>
    </row>
    <row r="314" spans="1:4" s="42" customFormat="1" x14ac:dyDescent="0.2">
      <c r="A314" s="108">
        <v>275</v>
      </c>
      <c r="B314" s="98" t="s">
        <v>198</v>
      </c>
      <c r="C314" s="99" t="s">
        <v>330</v>
      </c>
      <c r="D314" s="100" t="str">
        <f t="shared" si="4"/>
        <v>да</v>
      </c>
    </row>
    <row r="315" spans="1:4" s="42" customFormat="1" x14ac:dyDescent="0.2">
      <c r="A315" s="108">
        <v>276</v>
      </c>
      <c r="B315" s="98" t="s">
        <v>819</v>
      </c>
      <c r="C315" s="99" t="s">
        <v>818</v>
      </c>
      <c r="D315" s="100" t="str">
        <f t="shared" si="4"/>
        <v>да</v>
      </c>
    </row>
    <row r="316" spans="1:4" s="42" customFormat="1" x14ac:dyDescent="0.2">
      <c r="A316" s="108">
        <v>277</v>
      </c>
      <c r="B316" s="98" t="s">
        <v>716</v>
      </c>
      <c r="C316" s="99" t="s">
        <v>715</v>
      </c>
      <c r="D316" s="100" t="str">
        <f t="shared" si="4"/>
        <v>да</v>
      </c>
    </row>
    <row r="317" spans="1:4" s="42" customFormat="1" x14ac:dyDescent="0.2">
      <c r="A317" s="108">
        <v>277.10000000000002</v>
      </c>
      <c r="B317" s="98" t="s">
        <v>874</v>
      </c>
      <c r="C317" s="99" t="s">
        <v>875</v>
      </c>
      <c r="D317" s="100"/>
    </row>
    <row r="318" spans="1:4" s="42" customFormat="1" x14ac:dyDescent="0.2">
      <c r="A318" s="108">
        <v>278</v>
      </c>
      <c r="B318" s="98" t="s">
        <v>824</v>
      </c>
      <c r="C318" s="99" t="s">
        <v>823</v>
      </c>
      <c r="D318" s="100" t="str">
        <f t="shared" si="4"/>
        <v>да</v>
      </c>
    </row>
    <row r="319" spans="1:4" s="42" customFormat="1" x14ac:dyDescent="0.2">
      <c r="A319" s="108">
        <v>279.10000000000002</v>
      </c>
      <c r="B319" s="98" t="s">
        <v>568</v>
      </c>
      <c r="C319" s="99" t="s">
        <v>567</v>
      </c>
      <c r="D319" s="100" t="s">
        <v>367</v>
      </c>
    </row>
    <row r="320" spans="1:4" s="42" customFormat="1" x14ac:dyDescent="0.2">
      <c r="A320" s="108">
        <v>279.2</v>
      </c>
      <c r="B320" s="98" t="s">
        <v>625</v>
      </c>
      <c r="C320" s="99" t="s">
        <v>624</v>
      </c>
      <c r="D320" s="100" t="str">
        <f t="shared" si="4"/>
        <v>да</v>
      </c>
    </row>
    <row r="321" spans="1:4" s="42" customFormat="1" x14ac:dyDescent="0.2">
      <c r="A321" s="108">
        <v>280</v>
      </c>
      <c r="B321" s="98" t="s">
        <v>717</v>
      </c>
      <c r="C321" s="99" t="s">
        <v>718</v>
      </c>
      <c r="D321" s="100" t="str">
        <f t="shared" si="4"/>
        <v>да</v>
      </c>
    </row>
    <row r="322" spans="1:4" s="42" customFormat="1" x14ac:dyDescent="0.2">
      <c r="A322" s="108">
        <v>281</v>
      </c>
      <c r="B322" s="98" t="s">
        <v>631</v>
      </c>
      <c r="C322" s="99" t="s">
        <v>630</v>
      </c>
      <c r="D322" s="100" t="str">
        <f t="shared" si="4"/>
        <v>да</v>
      </c>
    </row>
    <row r="323" spans="1:4" s="42" customFormat="1" x14ac:dyDescent="0.2">
      <c r="A323" s="108">
        <v>282</v>
      </c>
      <c r="B323" s="111" t="s">
        <v>199</v>
      </c>
      <c r="C323" s="99" t="s">
        <v>331</v>
      </c>
      <c r="D323" s="100" t="str">
        <f t="shared" si="4"/>
        <v>да</v>
      </c>
    </row>
    <row r="324" spans="1:4" s="42" customFormat="1" x14ac:dyDescent="0.2">
      <c r="A324" s="108">
        <v>282.10000000000002</v>
      </c>
      <c r="B324" s="111" t="s">
        <v>925</v>
      </c>
      <c r="C324" s="99" t="s">
        <v>761</v>
      </c>
      <c r="D324" s="100" t="str">
        <f t="shared" si="4"/>
        <v>да</v>
      </c>
    </row>
    <row r="325" spans="1:4" s="42" customFormat="1" x14ac:dyDescent="0.2">
      <c r="A325" s="108">
        <v>283</v>
      </c>
      <c r="B325" s="98" t="s">
        <v>478</v>
      </c>
      <c r="C325" s="99" t="s">
        <v>554</v>
      </c>
      <c r="D325" s="100" t="str">
        <f t="shared" si="4"/>
        <v>да</v>
      </c>
    </row>
    <row r="326" spans="1:4" s="42" customFormat="1" x14ac:dyDescent="0.2">
      <c r="A326" s="108">
        <v>284</v>
      </c>
      <c r="B326" s="98" t="s">
        <v>67</v>
      </c>
      <c r="C326" s="99" t="s">
        <v>208</v>
      </c>
      <c r="D326" s="100" t="str">
        <f t="shared" si="4"/>
        <v>да</v>
      </c>
    </row>
    <row r="327" spans="1:4" s="42" customFormat="1" x14ac:dyDescent="0.2">
      <c r="A327" s="108">
        <v>285</v>
      </c>
      <c r="B327" s="98" t="s">
        <v>68</v>
      </c>
      <c r="C327" s="99" t="s">
        <v>209</v>
      </c>
      <c r="D327" s="100" t="str">
        <f t="shared" si="4"/>
        <v>да</v>
      </c>
    </row>
    <row r="328" spans="1:4" s="42" customFormat="1" x14ac:dyDescent="0.2">
      <c r="A328" s="108">
        <v>286</v>
      </c>
      <c r="B328" s="98" t="s">
        <v>69</v>
      </c>
      <c r="C328" s="99" t="s">
        <v>210</v>
      </c>
      <c r="D328" s="100" t="str">
        <f t="shared" si="4"/>
        <v>да</v>
      </c>
    </row>
    <row r="329" spans="1:4" s="42" customFormat="1" x14ac:dyDescent="0.2">
      <c r="A329" s="108">
        <v>287</v>
      </c>
      <c r="B329" s="98" t="s">
        <v>73</v>
      </c>
      <c r="C329" s="99" t="s">
        <v>214</v>
      </c>
      <c r="D329" s="100" t="str">
        <f t="shared" si="4"/>
        <v>да</v>
      </c>
    </row>
    <row r="330" spans="1:4" s="42" customFormat="1" x14ac:dyDescent="0.2">
      <c r="A330" s="108">
        <v>288</v>
      </c>
      <c r="B330" s="98" t="s">
        <v>74</v>
      </c>
      <c r="C330" s="99" t="s">
        <v>215</v>
      </c>
      <c r="D330" s="100" t="str">
        <f t="shared" si="4"/>
        <v>да</v>
      </c>
    </row>
    <row r="331" spans="1:4" s="42" customFormat="1" x14ac:dyDescent="0.2">
      <c r="A331" s="108">
        <v>288.10000000000002</v>
      </c>
      <c r="B331" s="111" t="s">
        <v>747</v>
      </c>
      <c r="C331" s="99" t="s">
        <v>746</v>
      </c>
      <c r="D331" s="100" t="str">
        <f t="shared" si="4"/>
        <v>да</v>
      </c>
    </row>
    <row r="332" spans="1:4" s="42" customFormat="1" x14ac:dyDescent="0.2">
      <c r="A332" s="108">
        <v>289</v>
      </c>
      <c r="B332" s="98" t="s">
        <v>555</v>
      </c>
      <c r="C332" s="99" t="s">
        <v>218</v>
      </c>
      <c r="D332" s="100" t="str">
        <f t="shared" si="4"/>
        <v>да</v>
      </c>
    </row>
    <row r="333" spans="1:4" s="42" customFormat="1" x14ac:dyDescent="0.2">
      <c r="A333" s="108">
        <v>290</v>
      </c>
      <c r="B333" s="98" t="s">
        <v>78</v>
      </c>
      <c r="C333" s="99" t="s">
        <v>10</v>
      </c>
      <c r="D333" s="100" t="str">
        <f t="shared" si="4"/>
        <v>да</v>
      </c>
    </row>
    <row r="334" spans="1:4" s="42" customFormat="1" x14ac:dyDescent="0.2">
      <c r="A334" s="122">
        <v>290.10000000000002</v>
      </c>
      <c r="B334" s="98" t="s">
        <v>373</v>
      </c>
      <c r="C334" s="99" t="s">
        <v>372</v>
      </c>
      <c r="D334" s="100" t="str">
        <f t="shared" si="4"/>
        <v>да</v>
      </c>
    </row>
    <row r="335" spans="1:4" s="42" customFormat="1" x14ac:dyDescent="0.2">
      <c r="A335" s="108">
        <v>291</v>
      </c>
      <c r="B335" s="98" t="s">
        <v>79</v>
      </c>
      <c r="C335" s="99" t="s">
        <v>219</v>
      </c>
      <c r="D335" s="100" t="str">
        <f t="shared" si="4"/>
        <v>да</v>
      </c>
    </row>
    <row r="336" spans="1:4" s="42" customFormat="1" x14ac:dyDescent="0.2">
      <c r="A336" s="108">
        <v>291.10000000000002</v>
      </c>
      <c r="B336" s="98" t="s">
        <v>608</v>
      </c>
      <c r="C336" s="99" t="s">
        <v>607</v>
      </c>
      <c r="D336" s="100" t="str">
        <f t="shared" si="4"/>
        <v>да</v>
      </c>
    </row>
    <row r="337" spans="1:4" s="42" customFormat="1" x14ac:dyDescent="0.2">
      <c r="A337" s="108">
        <v>292</v>
      </c>
      <c r="B337" s="98" t="s">
        <v>82</v>
      </c>
      <c r="C337" s="99" t="s">
        <v>222</v>
      </c>
      <c r="D337" s="100" t="str">
        <f t="shared" si="4"/>
        <v>да</v>
      </c>
    </row>
    <row r="338" spans="1:4" s="42" customFormat="1" x14ac:dyDescent="0.2">
      <c r="A338" s="108">
        <v>293</v>
      </c>
      <c r="B338" s="98" t="s">
        <v>83</v>
      </c>
      <c r="C338" s="99" t="s">
        <v>223</v>
      </c>
      <c r="D338" s="100" t="str">
        <f t="shared" si="4"/>
        <v>да</v>
      </c>
    </row>
    <row r="339" spans="1:4" s="42" customFormat="1" x14ac:dyDescent="0.2">
      <c r="A339" s="108">
        <v>294</v>
      </c>
      <c r="B339" s="111" t="s">
        <v>902</v>
      </c>
      <c r="C339" s="99" t="s">
        <v>898</v>
      </c>
      <c r="D339" s="100" t="str">
        <f t="shared" si="4"/>
        <v>да</v>
      </c>
    </row>
    <row r="340" spans="1:4" s="42" customFormat="1" x14ac:dyDescent="0.2">
      <c r="A340" s="108">
        <v>294.10000000000002</v>
      </c>
      <c r="B340" s="111" t="s">
        <v>922</v>
      </c>
      <c r="C340" s="99" t="s">
        <v>921</v>
      </c>
      <c r="D340" s="100" t="str">
        <f t="shared" ref="D340" si="5">IF(C340&lt;&gt;"","да","нет")</f>
        <v>да</v>
      </c>
    </row>
    <row r="341" spans="1:4" s="42" customFormat="1" x14ac:dyDescent="0.2">
      <c r="A341" s="108">
        <v>295</v>
      </c>
      <c r="B341" s="111" t="s">
        <v>200</v>
      </c>
      <c r="C341" s="99" t="s">
        <v>332</v>
      </c>
      <c r="D341" s="100" t="str">
        <f t="shared" si="4"/>
        <v>да</v>
      </c>
    </row>
    <row r="342" spans="1:4" s="42" customFormat="1" x14ac:dyDescent="0.2">
      <c r="A342" s="108">
        <v>296</v>
      </c>
      <c r="B342" s="98" t="s">
        <v>201</v>
      </c>
      <c r="C342" s="99" t="s">
        <v>410</v>
      </c>
      <c r="D342" s="100" t="str">
        <f t="shared" si="4"/>
        <v>да</v>
      </c>
    </row>
    <row r="343" spans="1:4" s="42" customFormat="1" x14ac:dyDescent="0.2">
      <c r="A343" s="108">
        <v>296.10000000000002</v>
      </c>
      <c r="B343" s="98" t="s">
        <v>720</v>
      </c>
      <c r="C343" s="99" t="s">
        <v>719</v>
      </c>
      <c r="D343" s="100" t="str">
        <f>IF(C343&lt;&gt;"","да","нет")</f>
        <v>да</v>
      </c>
    </row>
    <row r="344" spans="1:4" s="42" customFormat="1" x14ac:dyDescent="0.2">
      <c r="A344" s="108">
        <v>297</v>
      </c>
      <c r="B344" s="98" t="s">
        <v>876</v>
      </c>
      <c r="C344" s="99" t="s">
        <v>722</v>
      </c>
      <c r="D344" s="100" t="str">
        <f t="shared" si="4"/>
        <v>да</v>
      </c>
    </row>
    <row r="345" spans="1:4" s="42" customFormat="1" x14ac:dyDescent="0.2">
      <c r="A345" s="108">
        <v>297.10000000000002</v>
      </c>
      <c r="B345" s="98" t="s">
        <v>721</v>
      </c>
      <c r="C345" s="99" t="s">
        <v>722</v>
      </c>
      <c r="D345" s="100" t="str">
        <f>IF(C345&lt;&gt;"","да","нет")</f>
        <v>да</v>
      </c>
    </row>
    <row r="346" spans="1:4" s="42" customFormat="1" x14ac:dyDescent="0.2">
      <c r="A346" s="108">
        <v>298</v>
      </c>
      <c r="B346" s="98" t="s">
        <v>202</v>
      </c>
      <c r="C346" s="99" t="s">
        <v>333</v>
      </c>
      <c r="D346" s="100" t="str">
        <f t="shared" si="4"/>
        <v>да</v>
      </c>
    </row>
    <row r="347" spans="1:4" s="42" customFormat="1" x14ac:dyDescent="0.2">
      <c r="A347" s="108">
        <v>299</v>
      </c>
      <c r="B347" s="98" t="s">
        <v>633</v>
      </c>
      <c r="C347" s="99" t="s">
        <v>632</v>
      </c>
      <c r="D347" s="100" t="str">
        <f t="shared" si="4"/>
        <v>да</v>
      </c>
    </row>
    <row r="348" spans="1:4" s="42" customFormat="1" x14ac:dyDescent="0.2">
      <c r="A348" s="108">
        <v>300</v>
      </c>
      <c r="B348" s="98" t="s">
        <v>378</v>
      </c>
      <c r="C348" s="99" t="s">
        <v>379</v>
      </c>
      <c r="D348" s="100" t="str">
        <f t="shared" si="4"/>
        <v>да</v>
      </c>
    </row>
    <row r="349" spans="1:4" s="42" customFormat="1" x14ac:dyDescent="0.2">
      <c r="A349" s="108">
        <v>301</v>
      </c>
      <c r="B349" s="98" t="s">
        <v>203</v>
      </c>
      <c r="C349" s="99" t="s">
        <v>406</v>
      </c>
      <c r="D349" s="100" t="str">
        <f t="shared" si="4"/>
        <v>да</v>
      </c>
    </row>
    <row r="350" spans="1:4" s="42" customFormat="1" x14ac:dyDescent="0.2">
      <c r="A350" s="108">
        <v>302</v>
      </c>
      <c r="B350" s="98" t="s">
        <v>753</v>
      </c>
      <c r="C350" s="99" t="s">
        <v>334</v>
      </c>
      <c r="D350" s="100" t="str">
        <f t="shared" si="4"/>
        <v>да</v>
      </c>
    </row>
    <row r="351" spans="1:4" s="42" customFormat="1" x14ac:dyDescent="0.2">
      <c r="A351" s="108">
        <v>303</v>
      </c>
      <c r="B351" s="98" t="s">
        <v>204</v>
      </c>
      <c r="C351" s="99" t="s">
        <v>335</v>
      </c>
      <c r="D351" s="100" t="str">
        <f>IF(C351&lt;&gt;"","да","нет")</f>
        <v>да</v>
      </c>
    </row>
    <row r="352" spans="1:4" s="42" customFormat="1" x14ac:dyDescent="0.2">
      <c r="A352" s="122">
        <v>303.10000000000002</v>
      </c>
      <c r="B352" s="111" t="s">
        <v>748</v>
      </c>
      <c r="C352" s="99" t="s">
        <v>749</v>
      </c>
      <c r="D352" s="100" t="s">
        <v>367</v>
      </c>
    </row>
    <row r="353" spans="1:4" s="42" customFormat="1" x14ac:dyDescent="0.2">
      <c r="A353" s="110">
        <v>303.2</v>
      </c>
      <c r="B353" s="123" t="s">
        <v>641</v>
      </c>
      <c r="C353" s="102" t="s">
        <v>723</v>
      </c>
      <c r="D353" s="103" t="s">
        <v>367</v>
      </c>
    </row>
    <row r="354" spans="1:4" s="42" customFormat="1" x14ac:dyDescent="0.2">
      <c r="A354" s="110">
        <v>303.3</v>
      </c>
      <c r="B354" s="102" t="s">
        <v>389</v>
      </c>
      <c r="C354" s="102" t="s">
        <v>388</v>
      </c>
      <c r="D354" s="103" t="s">
        <v>367</v>
      </c>
    </row>
    <row r="355" spans="1:4" s="42" customFormat="1" x14ac:dyDescent="0.2">
      <c r="A355" s="110">
        <v>303.39999999999998</v>
      </c>
      <c r="B355" s="102" t="s">
        <v>368</v>
      </c>
      <c r="C355" s="102" t="s">
        <v>366</v>
      </c>
      <c r="D355" s="103" t="s">
        <v>367</v>
      </c>
    </row>
    <row r="356" spans="1:4" s="42" customFormat="1" x14ac:dyDescent="0.2">
      <c r="A356" s="110">
        <v>303.5</v>
      </c>
      <c r="B356" s="102" t="s">
        <v>959</v>
      </c>
      <c r="C356" s="102" t="s">
        <v>958</v>
      </c>
      <c r="D356" s="103" t="s">
        <v>367</v>
      </c>
    </row>
    <row r="357" spans="1:4" s="42" customFormat="1" x14ac:dyDescent="0.2">
      <c r="A357" s="110">
        <v>303.7</v>
      </c>
      <c r="B357" s="102" t="s">
        <v>788</v>
      </c>
      <c r="C357" s="102" t="s">
        <v>833</v>
      </c>
      <c r="D357" s="103" t="s">
        <v>367</v>
      </c>
    </row>
    <row r="358" spans="1:4" s="42" customFormat="1" x14ac:dyDescent="0.2">
      <c r="A358" s="110">
        <v>303.60000000000002</v>
      </c>
      <c r="B358" s="123" t="s">
        <v>961</v>
      </c>
      <c r="C358" s="102" t="s">
        <v>960</v>
      </c>
      <c r="D358" s="103" t="s">
        <v>367</v>
      </c>
    </row>
    <row r="359" spans="1:4" s="42" customFormat="1" x14ac:dyDescent="0.2">
      <c r="A359" s="110">
        <v>303.8</v>
      </c>
      <c r="B359" s="102" t="s">
        <v>635</v>
      </c>
      <c r="C359" s="102" t="s">
        <v>634</v>
      </c>
      <c r="D359" s="103" t="s">
        <v>367</v>
      </c>
    </row>
    <row r="360" spans="1:4" s="42" customFormat="1" x14ac:dyDescent="0.2">
      <c r="A360" s="110">
        <v>303.89999999999998</v>
      </c>
      <c r="B360" s="102" t="s">
        <v>750</v>
      </c>
      <c r="C360" s="102" t="s">
        <v>606</v>
      </c>
      <c r="D360" s="103" t="s">
        <v>367</v>
      </c>
    </row>
    <row r="361" spans="1:4" s="42" customFormat="1" x14ac:dyDescent="0.2">
      <c r="A361" s="138">
        <v>303.12</v>
      </c>
      <c r="B361" s="102" t="s">
        <v>368</v>
      </c>
      <c r="C361" s="102" t="s">
        <v>923</v>
      </c>
      <c r="D361" s="103" t="s">
        <v>367</v>
      </c>
    </row>
    <row r="362" spans="1:4" s="42" customFormat="1" x14ac:dyDescent="0.2">
      <c r="A362" s="138">
        <v>303.11</v>
      </c>
      <c r="B362" s="102" t="s">
        <v>821</v>
      </c>
      <c r="C362" s="102" t="s">
        <v>820</v>
      </c>
      <c r="D362" s="103"/>
    </row>
    <row r="363" spans="1:4" s="42" customFormat="1" x14ac:dyDescent="0.2">
      <c r="A363" s="108">
        <v>304</v>
      </c>
      <c r="B363" s="98" t="s">
        <v>205</v>
      </c>
      <c r="C363" s="99" t="s">
        <v>336</v>
      </c>
      <c r="D363" s="100" t="str">
        <f t="shared" si="4"/>
        <v>да</v>
      </c>
    </row>
    <row r="364" spans="1:4" s="42" customFormat="1" x14ac:dyDescent="0.2">
      <c r="A364" s="108">
        <v>305</v>
      </c>
      <c r="B364" s="98" t="s">
        <v>963</v>
      </c>
      <c r="C364" s="99" t="s">
        <v>962</v>
      </c>
      <c r="D364" s="100" t="str">
        <f t="shared" si="4"/>
        <v>да</v>
      </c>
    </row>
    <row r="365" spans="1:4" s="42" customFormat="1" x14ac:dyDescent="0.2">
      <c r="A365" s="108">
        <v>306</v>
      </c>
      <c r="B365" s="98" t="s">
        <v>941</v>
      </c>
      <c r="C365" s="99" t="s">
        <v>940</v>
      </c>
      <c r="D365" s="100" t="str">
        <f t="shared" si="4"/>
        <v>да</v>
      </c>
    </row>
    <row r="366" spans="1:4" s="42" customFormat="1" x14ac:dyDescent="0.2">
      <c r="A366" s="108">
        <v>307</v>
      </c>
      <c r="B366" s="98" t="s">
        <v>751</v>
      </c>
      <c r="C366" s="99" t="s">
        <v>337</v>
      </c>
      <c r="D366" s="100" t="str">
        <f t="shared" si="4"/>
        <v>да</v>
      </c>
    </row>
    <row r="367" spans="1:4" s="42" customFormat="1" x14ac:dyDescent="0.2">
      <c r="A367" s="124">
        <v>308</v>
      </c>
      <c r="B367" s="42" t="s">
        <v>356</v>
      </c>
      <c r="C367" s="42" t="s">
        <v>206</v>
      </c>
      <c r="D367" s="100" t="str">
        <f t="shared" si="4"/>
        <v>да</v>
      </c>
    </row>
    <row r="368" spans="1:4" s="42" customFormat="1" x14ac:dyDescent="0.2">
      <c r="A368" s="124">
        <v>309</v>
      </c>
      <c r="B368" s="42" t="s">
        <v>66</v>
      </c>
      <c r="C368" s="42" t="s">
        <v>207</v>
      </c>
      <c r="D368" s="100" t="str">
        <f t="shared" si="4"/>
        <v>да</v>
      </c>
    </row>
    <row r="369" spans="1:4" s="42" customFormat="1" x14ac:dyDescent="0.2">
      <c r="A369" s="124">
        <v>310</v>
      </c>
      <c r="B369" s="42" t="s">
        <v>478</v>
      </c>
      <c r="C369" s="42" t="s">
        <v>477</v>
      </c>
      <c r="D369" s="100" t="str">
        <f t="shared" si="4"/>
        <v>да</v>
      </c>
    </row>
    <row r="370" spans="1:4" s="42" customFormat="1" x14ac:dyDescent="0.2">
      <c r="A370" s="124">
        <v>311</v>
      </c>
      <c r="B370" s="42" t="s">
        <v>67</v>
      </c>
      <c r="C370" s="42" t="s">
        <v>208</v>
      </c>
      <c r="D370" s="100" t="str">
        <f t="shared" si="4"/>
        <v>да</v>
      </c>
    </row>
    <row r="371" spans="1:4" s="42" customFormat="1" x14ac:dyDescent="0.2">
      <c r="A371" s="124">
        <v>312</v>
      </c>
      <c r="B371" s="42" t="s">
        <v>68</v>
      </c>
      <c r="C371" s="42" t="s">
        <v>209</v>
      </c>
      <c r="D371" s="100" t="str">
        <f t="shared" si="4"/>
        <v>да</v>
      </c>
    </row>
    <row r="372" spans="1:4" s="42" customFormat="1" x14ac:dyDescent="0.2">
      <c r="A372" s="124">
        <v>313</v>
      </c>
      <c r="B372" s="42" t="s">
        <v>69</v>
      </c>
      <c r="C372" s="42" t="s">
        <v>210</v>
      </c>
      <c r="D372" s="100" t="str">
        <f t="shared" si="4"/>
        <v>да</v>
      </c>
    </row>
    <row r="373" spans="1:4" s="42" customFormat="1" x14ac:dyDescent="0.2">
      <c r="A373" s="124">
        <v>314</v>
      </c>
      <c r="B373" s="42" t="s">
        <v>70</v>
      </c>
      <c r="C373" s="42" t="s">
        <v>211</v>
      </c>
      <c r="D373" s="100" t="str">
        <f t="shared" si="4"/>
        <v>да</v>
      </c>
    </row>
    <row r="374" spans="1:4" s="42" customFormat="1" x14ac:dyDescent="0.2">
      <c r="A374" s="124">
        <v>315</v>
      </c>
      <c r="B374" s="42" t="s">
        <v>71</v>
      </c>
      <c r="C374" s="42" t="s">
        <v>212</v>
      </c>
      <c r="D374" s="100" t="str">
        <f t="shared" si="4"/>
        <v>да</v>
      </c>
    </row>
    <row r="375" spans="1:4" s="42" customFormat="1" x14ac:dyDescent="0.2">
      <c r="A375" s="124">
        <v>316</v>
      </c>
      <c r="B375" s="42" t="s">
        <v>72</v>
      </c>
      <c r="C375" s="42" t="s">
        <v>213</v>
      </c>
      <c r="D375" s="100" t="str">
        <f t="shared" si="4"/>
        <v>да</v>
      </c>
    </row>
    <row r="376" spans="1:4" s="42" customFormat="1" x14ac:dyDescent="0.2">
      <c r="A376" s="124">
        <v>317</v>
      </c>
      <c r="B376" s="42" t="s">
        <v>73</v>
      </c>
      <c r="C376" s="42" t="s">
        <v>214</v>
      </c>
      <c r="D376" s="100" t="str">
        <f t="shared" si="4"/>
        <v>да</v>
      </c>
    </row>
    <row r="377" spans="1:4" s="42" customFormat="1" x14ac:dyDescent="0.2">
      <c r="A377" s="124">
        <v>318</v>
      </c>
      <c r="B377" s="42" t="s">
        <v>74</v>
      </c>
      <c r="C377" s="42" t="s">
        <v>215</v>
      </c>
      <c r="D377" s="100" t="str">
        <f t="shared" si="4"/>
        <v>да</v>
      </c>
    </row>
    <row r="378" spans="1:4" s="42" customFormat="1" x14ac:dyDescent="0.2">
      <c r="A378" s="124">
        <v>319</v>
      </c>
      <c r="B378" s="42" t="s">
        <v>357</v>
      </c>
      <c r="C378" s="42" t="s">
        <v>216</v>
      </c>
      <c r="D378" s="100" t="str">
        <f t="shared" si="4"/>
        <v>да</v>
      </c>
    </row>
    <row r="379" spans="1:4" s="42" customFormat="1" x14ac:dyDescent="0.2">
      <c r="A379" s="124">
        <v>320</v>
      </c>
      <c r="B379" s="42" t="s">
        <v>22</v>
      </c>
      <c r="C379" s="42" t="s">
        <v>217</v>
      </c>
      <c r="D379" s="100" t="str">
        <f t="shared" si="4"/>
        <v>да</v>
      </c>
    </row>
    <row r="380" spans="1:4" s="42" customFormat="1" x14ac:dyDescent="0.2">
      <c r="A380" s="124">
        <v>321</v>
      </c>
      <c r="B380" s="42" t="s">
        <v>77</v>
      </c>
      <c r="C380" s="42" t="s">
        <v>218</v>
      </c>
      <c r="D380" s="100" t="str">
        <f t="shared" si="4"/>
        <v>да</v>
      </c>
    </row>
    <row r="381" spans="1:4" s="42" customFormat="1" x14ac:dyDescent="0.2">
      <c r="A381" s="124">
        <v>322</v>
      </c>
      <c r="B381" s="42" t="s">
        <v>78</v>
      </c>
      <c r="C381" s="42" t="s">
        <v>10</v>
      </c>
      <c r="D381" s="100" t="str">
        <f t="shared" si="4"/>
        <v>да</v>
      </c>
    </row>
    <row r="382" spans="1:4" s="42" customFormat="1" x14ac:dyDescent="0.2">
      <c r="A382" s="124">
        <v>323</v>
      </c>
      <c r="B382" s="42" t="s">
        <v>79</v>
      </c>
      <c r="C382" s="42" t="s">
        <v>219</v>
      </c>
      <c r="D382" s="100" t="str">
        <f t="shared" ref="D382:D444" si="6">IF(C382&lt;&gt;"","да","нет")</f>
        <v>да</v>
      </c>
    </row>
    <row r="383" spans="1:4" s="42" customFormat="1" x14ac:dyDescent="0.2">
      <c r="A383" s="125">
        <v>323.10000000000002</v>
      </c>
      <c r="B383" s="42" t="s">
        <v>373</v>
      </c>
      <c r="C383" s="42" t="s">
        <v>372</v>
      </c>
      <c r="D383" s="100" t="str">
        <f t="shared" si="6"/>
        <v>да</v>
      </c>
    </row>
    <row r="384" spans="1:4" s="42" customFormat="1" x14ac:dyDescent="0.2">
      <c r="A384" s="124">
        <v>324</v>
      </c>
      <c r="B384" s="42" t="s">
        <v>80</v>
      </c>
      <c r="C384" s="42" t="s">
        <v>220</v>
      </c>
      <c r="D384" s="100" t="str">
        <f t="shared" si="6"/>
        <v>да</v>
      </c>
    </row>
    <row r="385" spans="1:4" s="42" customFormat="1" x14ac:dyDescent="0.2">
      <c r="A385" s="124">
        <v>325</v>
      </c>
      <c r="B385" s="42" t="s">
        <v>81</v>
      </c>
      <c r="C385" s="42" t="s">
        <v>221</v>
      </c>
      <c r="D385" s="100" t="str">
        <f t="shared" si="6"/>
        <v>да</v>
      </c>
    </row>
    <row r="386" spans="1:4" s="42" customFormat="1" x14ac:dyDescent="0.2">
      <c r="A386" s="124">
        <v>326</v>
      </c>
      <c r="B386" s="126" t="s">
        <v>82</v>
      </c>
      <c r="C386" s="126" t="s">
        <v>222</v>
      </c>
      <c r="D386" s="100" t="str">
        <f t="shared" si="6"/>
        <v>да</v>
      </c>
    </row>
    <row r="387" spans="1:4" s="42" customFormat="1" x14ac:dyDescent="0.2">
      <c r="A387" s="124">
        <v>327</v>
      </c>
      <c r="B387" s="126" t="s">
        <v>83</v>
      </c>
      <c r="C387" s="126" t="s">
        <v>223</v>
      </c>
      <c r="D387" s="100" t="str">
        <f t="shared" si="6"/>
        <v>да</v>
      </c>
    </row>
    <row r="388" spans="1:4" s="42" customFormat="1" x14ac:dyDescent="0.2">
      <c r="A388" s="124">
        <v>328</v>
      </c>
      <c r="B388" s="42" t="s">
        <v>358</v>
      </c>
      <c r="C388" s="42" t="s">
        <v>224</v>
      </c>
      <c r="D388" s="100" t="str">
        <f t="shared" si="6"/>
        <v>да</v>
      </c>
    </row>
    <row r="389" spans="1:4" s="42" customFormat="1" x14ac:dyDescent="0.2">
      <c r="A389" s="124">
        <v>329</v>
      </c>
      <c r="B389" s="42" t="s">
        <v>391</v>
      </c>
      <c r="C389" s="42" t="s">
        <v>390</v>
      </c>
      <c r="D389" s="100" t="str">
        <f t="shared" si="6"/>
        <v>да</v>
      </c>
    </row>
    <row r="390" spans="1:4" s="42" customFormat="1" x14ac:dyDescent="0.2">
      <c r="A390" s="124">
        <v>330</v>
      </c>
      <c r="B390" s="42" t="s">
        <v>694</v>
      </c>
      <c r="C390" s="42" t="s">
        <v>693</v>
      </c>
      <c r="D390" s="100" t="str">
        <f t="shared" si="6"/>
        <v>да</v>
      </c>
    </row>
    <row r="391" spans="1:4" s="42" customFormat="1" x14ac:dyDescent="0.2">
      <c r="A391" s="124">
        <v>331</v>
      </c>
      <c r="B391" s="42" t="s">
        <v>392</v>
      </c>
      <c r="C391" s="42" t="s">
        <v>394</v>
      </c>
      <c r="D391" s="100" t="str">
        <f t="shared" si="6"/>
        <v>да</v>
      </c>
    </row>
    <row r="392" spans="1:4" s="42" customFormat="1" x14ac:dyDescent="0.2">
      <c r="A392" s="124">
        <v>332</v>
      </c>
      <c r="B392" s="42" t="s">
        <v>393</v>
      </c>
      <c r="C392" s="42" t="s">
        <v>395</v>
      </c>
      <c r="D392" s="100" t="str">
        <f t="shared" si="6"/>
        <v>да</v>
      </c>
    </row>
    <row r="393" spans="1:4" s="42" customFormat="1" x14ac:dyDescent="0.2">
      <c r="A393" s="124">
        <v>333</v>
      </c>
      <c r="B393" s="42" t="s">
        <v>400</v>
      </c>
      <c r="C393" s="42" t="s">
        <v>401</v>
      </c>
      <c r="D393" s="100" t="str">
        <f t="shared" si="6"/>
        <v>да</v>
      </c>
    </row>
    <row r="394" spans="1:4" s="42" customFormat="1" x14ac:dyDescent="0.2">
      <c r="A394" s="124">
        <v>334</v>
      </c>
      <c r="B394" s="42" t="s">
        <v>399</v>
      </c>
      <c r="C394" s="42" t="s">
        <v>398</v>
      </c>
      <c r="D394" s="100" t="str">
        <f t="shared" si="6"/>
        <v>да</v>
      </c>
    </row>
    <row r="395" spans="1:4" s="42" customFormat="1" x14ac:dyDescent="0.2">
      <c r="A395" s="124">
        <v>335</v>
      </c>
      <c r="B395" s="42" t="s">
        <v>403</v>
      </c>
      <c r="C395" s="42" t="s">
        <v>402</v>
      </c>
      <c r="D395" s="100" t="str">
        <f t="shared" si="6"/>
        <v>да</v>
      </c>
    </row>
    <row r="396" spans="1:4" s="42" customFormat="1" x14ac:dyDescent="0.2">
      <c r="A396" s="124">
        <v>336</v>
      </c>
      <c r="B396" s="42" t="s">
        <v>404</v>
      </c>
      <c r="C396" s="42" t="s">
        <v>405</v>
      </c>
      <c r="D396" s="100" t="str">
        <f t="shared" si="6"/>
        <v>да</v>
      </c>
    </row>
    <row r="397" spans="1:4" s="42" customFormat="1" x14ac:dyDescent="0.2">
      <c r="A397" s="124">
        <v>337</v>
      </c>
      <c r="B397" s="42" t="s">
        <v>424</v>
      </c>
      <c r="C397" s="42" t="s">
        <v>425</v>
      </c>
      <c r="D397" s="100" t="str">
        <f t="shared" si="6"/>
        <v>да</v>
      </c>
    </row>
    <row r="398" spans="1:4" s="42" customFormat="1" x14ac:dyDescent="0.2">
      <c r="A398" s="124">
        <v>338</v>
      </c>
      <c r="B398" s="42" t="s">
        <v>426</v>
      </c>
      <c r="C398" s="42" t="s">
        <v>427</v>
      </c>
      <c r="D398" s="100" t="str">
        <f t="shared" si="6"/>
        <v>да</v>
      </c>
    </row>
    <row r="399" spans="1:4" s="42" customFormat="1" x14ac:dyDescent="0.2">
      <c r="A399" s="124">
        <v>339</v>
      </c>
      <c r="B399" s="42" t="s">
        <v>428</v>
      </c>
      <c r="C399" s="42" t="s">
        <v>429</v>
      </c>
      <c r="D399" s="100" t="str">
        <f t="shared" si="6"/>
        <v>да</v>
      </c>
    </row>
    <row r="400" spans="1:4" s="42" customFormat="1" x14ac:dyDescent="0.2">
      <c r="A400" s="124">
        <v>340</v>
      </c>
      <c r="B400" s="42" t="s">
        <v>430</v>
      </c>
      <c r="C400" s="42" t="s">
        <v>431</v>
      </c>
      <c r="D400" s="100" t="str">
        <f t="shared" si="6"/>
        <v>да</v>
      </c>
    </row>
    <row r="401" spans="1:4" s="42" customFormat="1" x14ac:dyDescent="0.2">
      <c r="A401" s="124">
        <v>341</v>
      </c>
      <c r="B401" s="42" t="s">
        <v>432</v>
      </c>
      <c r="C401" s="42" t="s">
        <v>433</v>
      </c>
      <c r="D401" s="100" t="str">
        <f t="shared" si="6"/>
        <v>да</v>
      </c>
    </row>
    <row r="402" spans="1:4" s="42" customFormat="1" x14ac:dyDescent="0.2">
      <c r="A402" s="124">
        <v>342</v>
      </c>
      <c r="B402" s="42" t="s">
        <v>434</v>
      </c>
      <c r="C402" s="42" t="s">
        <v>435</v>
      </c>
      <c r="D402" s="100" t="str">
        <f t="shared" si="6"/>
        <v>да</v>
      </c>
    </row>
    <row r="403" spans="1:4" s="42" customFormat="1" x14ac:dyDescent="0.2">
      <c r="A403" s="124">
        <v>343</v>
      </c>
      <c r="B403" s="42" t="s">
        <v>436</v>
      </c>
      <c r="C403" s="42" t="s">
        <v>437</v>
      </c>
      <c r="D403" s="100" t="str">
        <f t="shared" si="6"/>
        <v>да</v>
      </c>
    </row>
    <row r="404" spans="1:4" s="42" customFormat="1" x14ac:dyDescent="0.2">
      <c r="A404" s="124">
        <v>344</v>
      </c>
      <c r="B404" s="42" t="s">
        <v>438</v>
      </c>
      <c r="C404" s="42" t="s">
        <v>439</v>
      </c>
      <c r="D404" s="100" t="str">
        <f t="shared" si="6"/>
        <v>да</v>
      </c>
    </row>
    <row r="405" spans="1:4" s="42" customFormat="1" x14ac:dyDescent="0.2">
      <c r="A405" s="124">
        <v>345</v>
      </c>
      <c r="B405" s="42" t="s">
        <v>543</v>
      </c>
      <c r="C405" s="42" t="s">
        <v>440</v>
      </c>
      <c r="D405" s="100" t="str">
        <f t="shared" si="6"/>
        <v>да</v>
      </c>
    </row>
    <row r="406" spans="1:4" s="42" customFormat="1" x14ac:dyDescent="0.2">
      <c r="A406" s="124">
        <v>346</v>
      </c>
      <c r="B406" s="42" t="s">
        <v>544</v>
      </c>
      <c r="C406" s="42" t="s">
        <v>441</v>
      </c>
      <c r="D406" s="100" t="str">
        <f t="shared" si="6"/>
        <v>да</v>
      </c>
    </row>
    <row r="407" spans="1:4" s="42" customFormat="1" x14ac:dyDescent="0.2">
      <c r="A407" s="125">
        <v>346.5</v>
      </c>
      <c r="B407" s="42" t="s">
        <v>442</v>
      </c>
      <c r="C407" s="42" t="s">
        <v>443</v>
      </c>
      <c r="D407" s="100" t="str">
        <f t="shared" si="6"/>
        <v>да</v>
      </c>
    </row>
    <row r="408" spans="1:4" s="42" customFormat="1" x14ac:dyDescent="0.2">
      <c r="A408" s="124">
        <v>347</v>
      </c>
      <c r="B408" s="42" t="s">
        <v>444</v>
      </c>
      <c r="C408" s="42" t="s">
        <v>445</v>
      </c>
      <c r="D408" s="100" t="str">
        <f t="shared" si="6"/>
        <v>да</v>
      </c>
    </row>
    <row r="409" spans="1:4" s="42" customFormat="1" x14ac:dyDescent="0.2">
      <c r="A409" s="124">
        <v>348</v>
      </c>
      <c r="B409" s="42" t="s">
        <v>446</v>
      </c>
      <c r="C409" s="42" t="s">
        <v>447</v>
      </c>
      <c r="D409" s="100" t="str">
        <f t="shared" si="6"/>
        <v>да</v>
      </c>
    </row>
    <row r="410" spans="1:4" s="42" customFormat="1" x14ac:dyDescent="0.2">
      <c r="A410" s="124">
        <v>349</v>
      </c>
      <c r="B410" s="42" t="s">
        <v>448</v>
      </c>
      <c r="C410" s="42" t="s">
        <v>449</v>
      </c>
      <c r="D410" s="100" t="str">
        <f t="shared" si="6"/>
        <v>да</v>
      </c>
    </row>
    <row r="411" spans="1:4" s="42" customFormat="1" x14ac:dyDescent="0.2">
      <c r="A411" s="124">
        <v>350</v>
      </c>
      <c r="B411" s="42" t="s">
        <v>450</v>
      </c>
      <c r="C411" s="42" t="s">
        <v>451</v>
      </c>
      <c r="D411" s="100" t="str">
        <f t="shared" si="6"/>
        <v>да</v>
      </c>
    </row>
    <row r="412" spans="1:4" s="42" customFormat="1" x14ac:dyDescent="0.2">
      <c r="A412" s="124">
        <v>351</v>
      </c>
      <c r="B412" s="42" t="s">
        <v>452</v>
      </c>
      <c r="C412" s="42" t="s">
        <v>453</v>
      </c>
      <c r="D412" s="100" t="str">
        <f t="shared" si="6"/>
        <v>да</v>
      </c>
    </row>
    <row r="413" spans="1:4" s="42" customFormat="1" x14ac:dyDescent="0.2">
      <c r="A413" s="124">
        <v>352</v>
      </c>
      <c r="B413" s="42" t="s">
        <v>454</v>
      </c>
      <c r="C413" s="42" t="s">
        <v>455</v>
      </c>
      <c r="D413" s="100" t="str">
        <f t="shared" si="6"/>
        <v>да</v>
      </c>
    </row>
    <row r="414" spans="1:4" s="42" customFormat="1" ht="24" x14ac:dyDescent="0.2">
      <c r="A414" s="124">
        <v>352.4</v>
      </c>
      <c r="B414" s="127" t="s">
        <v>628</v>
      </c>
      <c r="C414" s="127" t="s">
        <v>629</v>
      </c>
      <c r="D414" s="100" t="str">
        <f t="shared" si="6"/>
        <v>да</v>
      </c>
    </row>
    <row r="415" spans="1:4" s="42" customFormat="1" ht="36" x14ac:dyDescent="0.2">
      <c r="A415" s="124">
        <v>352.5</v>
      </c>
      <c r="B415" s="127" t="s">
        <v>520</v>
      </c>
      <c r="C415" s="127" t="s">
        <v>521</v>
      </c>
      <c r="D415" s="100" t="str">
        <f t="shared" si="6"/>
        <v>да</v>
      </c>
    </row>
    <row r="416" spans="1:4" s="42" customFormat="1" x14ac:dyDescent="0.2">
      <c r="A416" s="124">
        <v>352.6</v>
      </c>
      <c r="B416" s="127" t="s">
        <v>522</v>
      </c>
      <c r="C416" s="127" t="s">
        <v>523</v>
      </c>
      <c r="D416" s="100" t="str">
        <f t="shared" si="6"/>
        <v>да</v>
      </c>
    </row>
    <row r="417" spans="1:4" s="42" customFormat="1" x14ac:dyDescent="0.2">
      <c r="A417" s="124">
        <v>353</v>
      </c>
      <c r="B417" s="42" t="s">
        <v>456</v>
      </c>
      <c r="C417" s="42" t="s">
        <v>457</v>
      </c>
      <c r="D417" s="100" t="str">
        <f t="shared" si="6"/>
        <v>да</v>
      </c>
    </row>
    <row r="418" spans="1:4" s="42" customFormat="1" x14ac:dyDescent="0.2">
      <c r="A418" s="124">
        <v>354</v>
      </c>
      <c r="B418" s="42" t="s">
        <v>458</v>
      </c>
      <c r="C418" s="42" t="s">
        <v>459</v>
      </c>
      <c r="D418" s="100" t="str">
        <f t="shared" si="6"/>
        <v>да</v>
      </c>
    </row>
    <row r="419" spans="1:4" s="42" customFormat="1" x14ac:dyDescent="0.2">
      <c r="A419" s="124">
        <v>355</v>
      </c>
      <c r="B419" s="42" t="s">
        <v>460</v>
      </c>
      <c r="C419" s="42" t="s">
        <v>461</v>
      </c>
      <c r="D419" s="100" t="str">
        <f t="shared" si="6"/>
        <v>да</v>
      </c>
    </row>
    <row r="420" spans="1:4" s="42" customFormat="1" x14ac:dyDescent="0.2">
      <c r="A420" s="125">
        <v>355.5</v>
      </c>
      <c r="B420" s="42" t="s">
        <v>500</v>
      </c>
      <c r="C420" s="42" t="s">
        <v>501</v>
      </c>
      <c r="D420" s="100" t="str">
        <f t="shared" si="6"/>
        <v>да</v>
      </c>
    </row>
    <row r="421" spans="1:4" s="42" customFormat="1" x14ac:dyDescent="0.2">
      <c r="A421" s="114">
        <v>356</v>
      </c>
      <c r="B421" s="127" t="s">
        <v>903</v>
      </c>
      <c r="C421" s="127" t="s">
        <v>887</v>
      </c>
      <c r="D421" s="100" t="str">
        <f t="shared" si="6"/>
        <v>да</v>
      </c>
    </row>
    <row r="422" spans="1:4" s="42" customFormat="1" x14ac:dyDescent="0.2">
      <c r="A422" s="114">
        <v>356.1</v>
      </c>
      <c r="B422" s="127" t="s">
        <v>851</v>
      </c>
      <c r="C422" s="127" t="s">
        <v>655</v>
      </c>
      <c r="D422" s="100" t="str">
        <f t="shared" si="6"/>
        <v>да</v>
      </c>
    </row>
    <row r="423" spans="1:4" s="42" customFormat="1" ht="17.25" customHeight="1" x14ac:dyDescent="0.2">
      <c r="A423" s="114">
        <v>356.2</v>
      </c>
      <c r="B423" s="127" t="s">
        <v>853</v>
      </c>
      <c r="C423" s="25" t="s">
        <v>852</v>
      </c>
      <c r="D423" s="100"/>
    </row>
    <row r="424" spans="1:4" s="42" customFormat="1" ht="18" customHeight="1" x14ac:dyDescent="0.2">
      <c r="A424" s="114">
        <v>356.3</v>
      </c>
      <c r="B424" s="127" t="s">
        <v>888</v>
      </c>
      <c r="C424" s="25" t="s">
        <v>889</v>
      </c>
      <c r="D424" s="100"/>
    </row>
    <row r="425" spans="1:4" s="42" customFormat="1" x14ac:dyDescent="0.2">
      <c r="A425" s="114">
        <v>357</v>
      </c>
      <c r="B425" s="127" t="s">
        <v>930</v>
      </c>
      <c r="C425" s="127" t="s">
        <v>929</v>
      </c>
      <c r="D425" s="100" t="str">
        <f t="shared" si="6"/>
        <v>да</v>
      </c>
    </row>
    <row r="426" spans="1:4" s="42" customFormat="1" x14ac:dyDescent="0.2">
      <c r="A426" s="114">
        <v>357.1</v>
      </c>
      <c r="B426" s="127" t="s">
        <v>783</v>
      </c>
      <c r="C426" s="127" t="s">
        <v>645</v>
      </c>
      <c r="D426" s="100" t="str">
        <f t="shared" si="6"/>
        <v>да</v>
      </c>
    </row>
    <row r="427" spans="1:4" s="42" customFormat="1" x14ac:dyDescent="0.2">
      <c r="A427" s="114">
        <v>358</v>
      </c>
      <c r="B427" s="127" t="s">
        <v>708</v>
      </c>
      <c r="C427" s="127" t="s">
        <v>707</v>
      </c>
      <c r="D427" s="100" t="str">
        <f t="shared" si="6"/>
        <v>да</v>
      </c>
    </row>
    <row r="428" spans="1:4" s="42" customFormat="1" x14ac:dyDescent="0.2">
      <c r="A428" s="114">
        <v>358.1</v>
      </c>
      <c r="B428" s="127" t="s">
        <v>787</v>
      </c>
      <c r="C428" s="127" t="s">
        <v>786</v>
      </c>
      <c r="D428" s="100" t="str">
        <f t="shared" si="6"/>
        <v>да</v>
      </c>
    </row>
    <row r="429" spans="1:4" s="42" customFormat="1" x14ac:dyDescent="0.2">
      <c r="A429" s="114">
        <v>359</v>
      </c>
      <c r="B429" s="127" t="s">
        <v>822</v>
      </c>
      <c r="C429" s="127" t="s">
        <v>870</v>
      </c>
      <c r="D429" s="100" t="str">
        <f t="shared" si="6"/>
        <v>да</v>
      </c>
    </row>
    <row r="430" spans="1:4" s="42" customFormat="1" x14ac:dyDescent="0.2">
      <c r="A430" s="114">
        <v>360</v>
      </c>
      <c r="B430" s="127" t="s">
        <v>872</v>
      </c>
      <c r="C430" s="127" t="s">
        <v>871</v>
      </c>
      <c r="D430" s="100" t="str">
        <f t="shared" si="6"/>
        <v>да</v>
      </c>
    </row>
    <row r="431" spans="1:4" s="42" customFormat="1" x14ac:dyDescent="0.2">
      <c r="A431" s="114">
        <v>361</v>
      </c>
      <c r="B431" s="127" t="s">
        <v>712</v>
      </c>
      <c r="C431" s="127" t="s">
        <v>709</v>
      </c>
      <c r="D431" s="100" t="str">
        <f t="shared" si="6"/>
        <v>да</v>
      </c>
    </row>
    <row r="432" spans="1:4" s="42" customFormat="1" x14ac:dyDescent="0.2">
      <c r="A432" s="114">
        <v>362</v>
      </c>
      <c r="B432" s="127" t="s">
        <v>713</v>
      </c>
      <c r="C432" s="127" t="s">
        <v>710</v>
      </c>
      <c r="D432" s="100" t="str">
        <f t="shared" si="6"/>
        <v>да</v>
      </c>
    </row>
    <row r="433" spans="1:4" s="42" customFormat="1" x14ac:dyDescent="0.2">
      <c r="A433" s="114">
        <v>363</v>
      </c>
      <c r="B433" s="127" t="s">
        <v>714</v>
      </c>
      <c r="C433" s="127" t="s">
        <v>711</v>
      </c>
      <c r="D433" s="100" t="str">
        <f t="shared" si="6"/>
        <v>да</v>
      </c>
    </row>
    <row r="434" spans="1:4" s="42" customFormat="1" x14ac:dyDescent="0.2">
      <c r="A434" s="114">
        <v>364</v>
      </c>
      <c r="B434" s="127" t="s">
        <v>755</v>
      </c>
      <c r="C434" s="127" t="s">
        <v>754</v>
      </c>
      <c r="D434" s="100" t="str">
        <f t="shared" si="6"/>
        <v>да</v>
      </c>
    </row>
    <row r="435" spans="1:4" s="42" customFormat="1" x14ac:dyDescent="0.2">
      <c r="A435" s="114">
        <v>364.1</v>
      </c>
      <c r="B435" s="127" t="s">
        <v>785</v>
      </c>
      <c r="C435" s="127" t="s">
        <v>784</v>
      </c>
      <c r="D435" s="100" t="str">
        <f t="shared" si="6"/>
        <v>да</v>
      </c>
    </row>
    <row r="436" spans="1:4" s="42" customFormat="1" x14ac:dyDescent="0.2">
      <c r="A436" s="114">
        <v>365</v>
      </c>
      <c r="B436" s="127" t="s">
        <v>854</v>
      </c>
      <c r="C436" s="127" t="s">
        <v>855</v>
      </c>
      <c r="D436" s="100" t="str">
        <f t="shared" si="6"/>
        <v>да</v>
      </c>
    </row>
    <row r="437" spans="1:4" s="42" customFormat="1" x14ac:dyDescent="0.2">
      <c r="A437" s="114">
        <v>365.1</v>
      </c>
      <c r="B437" s="127" t="s">
        <v>896</v>
      </c>
      <c r="C437" s="127" t="s">
        <v>895</v>
      </c>
      <c r="D437" s="100" t="str">
        <f t="shared" si="6"/>
        <v>да</v>
      </c>
    </row>
    <row r="438" spans="1:4" s="42" customFormat="1" x14ac:dyDescent="0.2">
      <c r="A438" s="114">
        <v>365.2</v>
      </c>
      <c r="B438" s="127" t="s">
        <v>897</v>
      </c>
      <c r="C438" s="127" t="s">
        <v>890</v>
      </c>
      <c r="D438" s="100" t="str">
        <f t="shared" si="6"/>
        <v>да</v>
      </c>
    </row>
    <row r="439" spans="1:4" s="42" customFormat="1" x14ac:dyDescent="0.2">
      <c r="A439" s="114">
        <v>366</v>
      </c>
      <c r="B439" s="127" t="s">
        <v>901</v>
      </c>
      <c r="C439" s="127" t="s">
        <v>900</v>
      </c>
      <c r="D439" s="100" t="str">
        <f t="shared" si="6"/>
        <v>да</v>
      </c>
    </row>
    <row r="440" spans="1:4" s="42" customFormat="1" x14ac:dyDescent="0.2">
      <c r="A440" s="114">
        <v>366.1</v>
      </c>
      <c r="B440" s="127" t="s">
        <v>849</v>
      </c>
      <c r="C440" s="127" t="s">
        <v>850</v>
      </c>
      <c r="D440" s="100" t="str">
        <f t="shared" si="6"/>
        <v>да</v>
      </c>
    </row>
    <row r="441" spans="1:4" s="42" customFormat="1" x14ac:dyDescent="0.2">
      <c r="A441" s="114">
        <v>366.2</v>
      </c>
      <c r="B441" s="127" t="s">
        <v>885</v>
      </c>
      <c r="C441" s="127" t="s">
        <v>886</v>
      </c>
      <c r="D441" s="100" t="str">
        <f t="shared" si="6"/>
        <v>да</v>
      </c>
    </row>
    <row r="442" spans="1:4" s="42" customFormat="1" x14ac:dyDescent="0.2">
      <c r="A442" s="114">
        <v>366.3</v>
      </c>
      <c r="B442" s="127" t="s">
        <v>849</v>
      </c>
      <c r="C442" s="127" t="s">
        <v>856</v>
      </c>
      <c r="D442" s="100" t="str">
        <f t="shared" si="6"/>
        <v>да</v>
      </c>
    </row>
    <row r="443" spans="1:4" s="42" customFormat="1" x14ac:dyDescent="0.2">
      <c r="A443" s="114">
        <v>366.4</v>
      </c>
      <c r="B443" s="127" t="s">
        <v>865</v>
      </c>
      <c r="C443" s="127" t="s">
        <v>864</v>
      </c>
      <c r="D443" s="100"/>
    </row>
    <row r="444" spans="1:4" s="42" customFormat="1" x14ac:dyDescent="0.2">
      <c r="A444" s="114">
        <v>367</v>
      </c>
      <c r="B444" s="127" t="s">
        <v>725</v>
      </c>
      <c r="C444" s="127" t="s">
        <v>724</v>
      </c>
      <c r="D444" s="100" t="str">
        <f t="shared" si="6"/>
        <v>да</v>
      </c>
    </row>
    <row r="445" spans="1:4" s="42" customFormat="1" x14ac:dyDescent="0.2">
      <c r="A445" s="114">
        <v>368</v>
      </c>
      <c r="B445" s="127" t="s">
        <v>881</v>
      </c>
      <c r="C445" s="127" t="s">
        <v>882</v>
      </c>
      <c r="D445" s="100" t="str">
        <f>IF(C445&lt;&gt;"","да","нет")</f>
        <v>да</v>
      </c>
    </row>
    <row r="446" spans="1:4" s="42" customFormat="1" x14ac:dyDescent="0.2">
      <c r="A446" s="114">
        <v>368.1</v>
      </c>
      <c r="B446" s="127" t="s">
        <v>708</v>
      </c>
      <c r="C446" s="127" t="s">
        <v>873</v>
      </c>
      <c r="D446" s="100" t="str">
        <f>IF(C446&lt;&gt;"","да","нет")</f>
        <v>да</v>
      </c>
    </row>
    <row r="447" spans="1:4" s="42" customFormat="1" x14ac:dyDescent="0.2">
      <c r="A447" s="114">
        <v>369</v>
      </c>
      <c r="B447" s="127" t="s">
        <v>738</v>
      </c>
      <c r="C447" s="127" t="s">
        <v>844</v>
      </c>
      <c r="D447" s="100" t="str">
        <f>IF(C447&lt;&gt;"","да","нет")</f>
        <v>да</v>
      </c>
    </row>
    <row r="448" spans="1:4" s="42" customFormat="1" x14ac:dyDescent="0.2">
      <c r="A448" s="114">
        <v>370</v>
      </c>
      <c r="B448" s="127" t="s">
        <v>920</v>
      </c>
      <c r="C448" s="127" t="s">
        <v>909</v>
      </c>
      <c r="D448" s="100" t="s">
        <v>367</v>
      </c>
    </row>
    <row r="449" spans="1:4" s="42" customFormat="1" ht="24" x14ac:dyDescent="0.2">
      <c r="A449" s="114">
        <v>371</v>
      </c>
      <c r="B449" s="127" t="s">
        <v>919</v>
      </c>
      <c r="C449" s="127" t="s">
        <v>910</v>
      </c>
      <c r="D449" s="100" t="s">
        <v>367</v>
      </c>
    </row>
    <row r="450" spans="1:4" s="42" customFormat="1" x14ac:dyDescent="0.2">
      <c r="A450" s="114">
        <v>372</v>
      </c>
      <c r="B450" s="127" t="s">
        <v>911</v>
      </c>
      <c r="C450" s="127" t="s">
        <v>912</v>
      </c>
      <c r="D450" s="100" t="s">
        <v>367</v>
      </c>
    </row>
    <row r="451" spans="1:4" s="42" customFormat="1" x14ac:dyDescent="0.2">
      <c r="A451" s="114">
        <v>373</v>
      </c>
      <c r="B451" s="127" t="s">
        <v>914</v>
      </c>
      <c r="C451" s="127" t="s">
        <v>913</v>
      </c>
      <c r="D451" s="100" t="s">
        <v>367</v>
      </c>
    </row>
    <row r="452" spans="1:4" s="42" customFormat="1" ht="24" x14ac:dyDescent="0.2">
      <c r="A452" s="114">
        <v>374</v>
      </c>
      <c r="B452" s="127" t="s">
        <v>915</v>
      </c>
      <c r="C452" s="127" t="s">
        <v>916</v>
      </c>
      <c r="D452" s="100" t="s">
        <v>367</v>
      </c>
    </row>
    <row r="453" spans="1:4" s="42" customFormat="1" x14ac:dyDescent="0.2">
      <c r="A453" s="114">
        <v>375</v>
      </c>
      <c r="B453" s="127" t="s">
        <v>917</v>
      </c>
      <c r="C453" s="127" t="s">
        <v>918</v>
      </c>
      <c r="D453" s="100" t="s">
        <v>367</v>
      </c>
    </row>
    <row r="454" spans="1:4" s="42" customFormat="1" x14ac:dyDescent="0.2">
      <c r="A454" s="114"/>
      <c r="B454" s="127"/>
      <c r="C454" s="127"/>
      <c r="D454" s="100"/>
    </row>
    <row r="455" spans="1:4" s="42" customFormat="1" x14ac:dyDescent="0.2">
      <c r="A455" s="114"/>
      <c r="B455" s="127"/>
      <c r="C455" s="127"/>
      <c r="D455" s="100"/>
    </row>
    <row r="456" spans="1:4" s="42" customFormat="1" x14ac:dyDescent="0.2">
      <c r="A456" s="114"/>
      <c r="B456" s="127"/>
      <c r="C456" s="127"/>
      <c r="D456" s="100"/>
    </row>
    <row r="457" spans="1:4" s="42" customFormat="1" x14ac:dyDescent="0.2">
      <c r="A457" s="124">
        <v>388</v>
      </c>
      <c r="B457" s="42" t="s">
        <v>656</v>
      </c>
      <c r="C457" s="42" t="s">
        <v>657</v>
      </c>
      <c r="D457" s="100" t="str">
        <f t="shared" ref="D457:D465" si="7">IF(C457&lt;&gt;"","да","нет")</f>
        <v>да</v>
      </c>
    </row>
    <row r="458" spans="1:4" s="42" customFormat="1" x14ac:dyDescent="0.2">
      <c r="A458" s="124">
        <v>389</v>
      </c>
      <c r="B458" s="42" t="s">
        <v>658</v>
      </c>
      <c r="C458" s="42" t="s">
        <v>659</v>
      </c>
      <c r="D458" s="100" t="str">
        <f t="shared" si="7"/>
        <v>да</v>
      </c>
    </row>
    <row r="459" spans="1:4" s="42" customFormat="1" x14ac:dyDescent="0.2">
      <c r="A459" s="124">
        <v>390</v>
      </c>
      <c r="B459" s="42" t="s">
        <v>660</v>
      </c>
      <c r="C459" s="42" t="s">
        <v>539</v>
      </c>
      <c r="D459" s="100" t="str">
        <f t="shared" si="7"/>
        <v>да</v>
      </c>
    </row>
    <row r="460" spans="1:4" s="42" customFormat="1" x14ac:dyDescent="0.2">
      <c r="A460" s="124">
        <v>391</v>
      </c>
      <c r="B460" s="42" t="s">
        <v>609</v>
      </c>
      <c r="C460" s="42" t="s">
        <v>610</v>
      </c>
      <c r="D460" s="100" t="str">
        <f t="shared" si="7"/>
        <v>да</v>
      </c>
    </row>
    <row r="461" spans="1:4" s="42" customFormat="1" x14ac:dyDescent="0.2">
      <c r="A461" s="124">
        <v>392</v>
      </c>
      <c r="B461" s="128" t="s">
        <v>661</v>
      </c>
      <c r="C461" s="42" t="s">
        <v>662</v>
      </c>
      <c r="D461" s="100" t="str">
        <f t="shared" si="7"/>
        <v>да</v>
      </c>
    </row>
    <row r="462" spans="1:4" s="42" customFormat="1" x14ac:dyDescent="0.2">
      <c r="A462" s="124">
        <v>393</v>
      </c>
      <c r="B462" s="42" t="s">
        <v>663</v>
      </c>
      <c r="C462" s="42" t="s">
        <v>664</v>
      </c>
      <c r="D462" s="100" t="str">
        <f t="shared" si="7"/>
        <v>да</v>
      </c>
    </row>
    <row r="463" spans="1:4" s="42" customFormat="1" x14ac:dyDescent="0.2">
      <c r="A463" s="124">
        <v>394</v>
      </c>
      <c r="B463" s="42" t="s">
        <v>568</v>
      </c>
      <c r="C463" s="42" t="s">
        <v>567</v>
      </c>
      <c r="D463" s="100" t="str">
        <f t="shared" si="7"/>
        <v>да</v>
      </c>
    </row>
    <row r="464" spans="1:4" s="42" customFormat="1" x14ac:dyDescent="0.2">
      <c r="A464" s="124">
        <v>395</v>
      </c>
      <c r="B464" s="42" t="s">
        <v>665</v>
      </c>
      <c r="C464" s="42" t="s">
        <v>666</v>
      </c>
      <c r="D464" s="100" t="str">
        <f t="shared" si="7"/>
        <v>да</v>
      </c>
    </row>
    <row r="465" spans="1:4" s="42" customFormat="1" x14ac:dyDescent="0.2">
      <c r="A465" s="124">
        <v>396</v>
      </c>
      <c r="B465" s="42" t="s">
        <v>667</v>
      </c>
      <c r="C465" s="42" t="s">
        <v>606</v>
      </c>
      <c r="D465" s="100" t="str">
        <f t="shared" si="7"/>
        <v>да</v>
      </c>
    </row>
    <row r="466" spans="1:4" x14ac:dyDescent="0.2">
      <c r="A466" s="124">
        <v>397</v>
      </c>
      <c r="B466" s="42" t="s">
        <v>729</v>
      </c>
      <c r="C466" s="42" t="s">
        <v>752</v>
      </c>
      <c r="D466" s="100" t="str">
        <f>IF(C466&lt;&gt;"","да","нет")</f>
        <v>да</v>
      </c>
    </row>
    <row r="467" spans="1:4" x14ac:dyDescent="0.2">
      <c r="A467" s="124">
        <v>398</v>
      </c>
      <c r="B467" s="42" t="s">
        <v>642</v>
      </c>
      <c r="C467" s="42" t="s">
        <v>643</v>
      </c>
      <c r="D467" s="100" t="str">
        <f>IF(C467&lt;&gt;"","да","нет")</f>
        <v>да</v>
      </c>
    </row>
    <row r="468" spans="1:4" x14ac:dyDescent="0.2">
      <c r="A468" s="124">
        <v>399</v>
      </c>
      <c r="B468" s="98" t="s">
        <v>654</v>
      </c>
      <c r="C468" s="42" t="s">
        <v>655</v>
      </c>
      <c r="D468" s="100" t="str">
        <f t="shared" ref="D468:D482" si="8">IF(C468&lt;&gt;"","да","нет")</f>
        <v>да</v>
      </c>
    </row>
    <row r="469" spans="1:4" x14ac:dyDescent="0.2">
      <c r="A469" s="124">
        <v>400</v>
      </c>
      <c r="B469" s="98" t="s">
        <v>828</v>
      </c>
      <c r="C469" s="42" t="s">
        <v>827</v>
      </c>
      <c r="D469" s="100" t="str">
        <f t="shared" si="8"/>
        <v>да</v>
      </c>
    </row>
    <row r="470" spans="1:4" x14ac:dyDescent="0.2">
      <c r="A470" s="124">
        <v>400.1</v>
      </c>
      <c r="B470" s="98" t="s">
        <v>704</v>
      </c>
      <c r="C470" s="42" t="s">
        <v>705</v>
      </c>
      <c r="D470" s="100" t="str">
        <f>IF(C470&lt;&gt;"","да","нет")</f>
        <v>да</v>
      </c>
    </row>
    <row r="471" spans="1:4" x14ac:dyDescent="0.2">
      <c r="A471" s="124">
        <v>400.2</v>
      </c>
      <c r="B471" s="98" t="s">
        <v>804</v>
      </c>
      <c r="C471" s="42" t="s">
        <v>803</v>
      </c>
      <c r="D471" s="100" t="str">
        <f>IF(C471&lt;&gt;"","да","нет")</f>
        <v>да</v>
      </c>
    </row>
    <row r="472" spans="1:4" x14ac:dyDescent="0.2">
      <c r="A472" s="124">
        <v>401</v>
      </c>
      <c r="B472" s="98" t="s">
        <v>801</v>
      </c>
      <c r="C472" s="42" t="s">
        <v>800</v>
      </c>
      <c r="D472" s="100" t="str">
        <f>IF(C472&lt;&gt;"","да","нет")</f>
        <v>да</v>
      </c>
    </row>
    <row r="473" spans="1:4" x14ac:dyDescent="0.2">
      <c r="A473" s="124">
        <v>401.1</v>
      </c>
      <c r="B473" s="98" t="s">
        <v>732</v>
      </c>
      <c r="C473" s="42" t="s">
        <v>743</v>
      </c>
      <c r="D473" s="100" t="str">
        <f>IF(C473&lt;&gt;"","да","нет")</f>
        <v>да</v>
      </c>
    </row>
    <row r="474" spans="1:4" x14ac:dyDescent="0.2">
      <c r="A474" s="124">
        <v>401.2</v>
      </c>
      <c r="B474" s="98" t="s">
        <v>805</v>
      </c>
      <c r="C474" s="42" t="s">
        <v>802</v>
      </c>
      <c r="D474" s="100" t="str">
        <f>IF(C474&lt;&gt;"","да","нет")</f>
        <v>да</v>
      </c>
    </row>
    <row r="475" spans="1:4" x14ac:dyDescent="0.2">
      <c r="A475" s="124">
        <v>401.3</v>
      </c>
      <c r="B475" s="98" t="s">
        <v>859</v>
      </c>
      <c r="C475" s="42" t="s">
        <v>858</v>
      </c>
      <c r="D475" s="100"/>
    </row>
    <row r="476" spans="1:4" s="129" customFormat="1" x14ac:dyDescent="0.2">
      <c r="A476" s="124">
        <v>402</v>
      </c>
      <c r="B476" s="98" t="s">
        <v>835</v>
      </c>
      <c r="C476" s="42" t="s">
        <v>834</v>
      </c>
      <c r="D476" s="100" t="str">
        <f t="shared" si="8"/>
        <v>да</v>
      </c>
    </row>
    <row r="477" spans="1:4" s="129" customFormat="1" x14ac:dyDescent="0.2">
      <c r="A477" s="124">
        <v>402.1</v>
      </c>
      <c r="B477" s="98" t="s">
        <v>768</v>
      </c>
      <c r="C477" s="42" t="s">
        <v>767</v>
      </c>
      <c r="D477" s="100" t="str">
        <f t="shared" si="8"/>
        <v>да</v>
      </c>
    </row>
    <row r="478" spans="1:4" s="129" customFormat="1" x14ac:dyDescent="0.2">
      <c r="A478" s="124">
        <v>402.2</v>
      </c>
      <c r="B478" s="98" t="s">
        <v>835</v>
      </c>
      <c r="C478" s="42" t="s">
        <v>834</v>
      </c>
      <c r="D478" s="100" t="str">
        <f t="shared" si="8"/>
        <v>да</v>
      </c>
    </row>
    <row r="479" spans="1:4" s="129" customFormat="1" x14ac:dyDescent="0.2">
      <c r="A479" s="124">
        <v>402.3</v>
      </c>
      <c r="B479" s="98" t="s">
        <v>861</v>
      </c>
      <c r="C479" s="42" t="s">
        <v>860</v>
      </c>
      <c r="D479" s="100"/>
    </row>
    <row r="480" spans="1:4" x14ac:dyDescent="0.2">
      <c r="A480" s="124">
        <v>403</v>
      </c>
      <c r="B480" s="98" t="s">
        <v>674</v>
      </c>
      <c r="C480" s="42" t="s">
        <v>675</v>
      </c>
      <c r="D480" s="100" t="str">
        <f t="shared" si="8"/>
        <v>да</v>
      </c>
    </row>
    <row r="481" spans="1:4" x14ac:dyDescent="0.2">
      <c r="A481" s="124">
        <v>404</v>
      </c>
      <c r="B481" s="98" t="s">
        <v>806</v>
      </c>
      <c r="C481" s="42" t="s">
        <v>843</v>
      </c>
      <c r="D481" s="100" t="str">
        <f t="shared" si="8"/>
        <v>да</v>
      </c>
    </row>
    <row r="482" spans="1:4" x14ac:dyDescent="0.2">
      <c r="A482" s="124">
        <v>404.1</v>
      </c>
      <c r="B482" s="98" t="s">
        <v>807</v>
      </c>
      <c r="C482" s="42" t="s">
        <v>836</v>
      </c>
      <c r="D482" s="100" t="str">
        <f t="shared" si="8"/>
        <v>да</v>
      </c>
    </row>
    <row r="483" spans="1:4" x14ac:dyDescent="0.2">
      <c r="A483" s="124">
        <v>405</v>
      </c>
      <c r="B483" s="98" t="s">
        <v>691</v>
      </c>
      <c r="C483" s="42" t="s">
        <v>670</v>
      </c>
      <c r="D483" s="100" t="str">
        <f>IF(C483&lt;&gt;"","да","нет")</f>
        <v>да</v>
      </c>
    </row>
    <row r="484" spans="1:4" x14ac:dyDescent="0.2">
      <c r="A484" s="124">
        <v>406</v>
      </c>
      <c r="B484" s="98" t="s">
        <v>669</v>
      </c>
      <c r="C484" s="127" t="s">
        <v>668</v>
      </c>
      <c r="D484" s="100" t="str">
        <f>IF(C484&lt;&gt;"","да","нет")</f>
        <v>да</v>
      </c>
    </row>
    <row r="485" spans="1:4" x14ac:dyDescent="0.2">
      <c r="A485" s="124">
        <v>407</v>
      </c>
      <c r="B485" s="98" t="s">
        <v>644</v>
      </c>
      <c r="C485" s="42" t="s">
        <v>645</v>
      </c>
      <c r="D485" s="100" t="str">
        <f>IF(C485&lt;&gt;"","да","нет")</f>
        <v>да</v>
      </c>
    </row>
    <row r="486" spans="1:4" x14ac:dyDescent="0.2">
      <c r="A486" s="124">
        <v>408</v>
      </c>
      <c r="B486" s="98" t="s">
        <v>669</v>
      </c>
      <c r="C486" s="127" t="s">
        <v>671</v>
      </c>
      <c r="D486" s="100" t="str">
        <f t="shared" ref="D486:D492" si="9">IF(C486&lt;&gt;"","да","нет")</f>
        <v>да</v>
      </c>
    </row>
    <row r="487" spans="1:4" x14ac:dyDescent="0.2">
      <c r="A487" s="124">
        <v>409</v>
      </c>
      <c r="B487" s="111" t="s">
        <v>868</v>
      </c>
      <c r="C487" s="121" t="s">
        <v>869</v>
      </c>
      <c r="D487" s="100" t="str">
        <f t="shared" si="9"/>
        <v>да</v>
      </c>
    </row>
    <row r="488" spans="1:4" x14ac:dyDescent="0.2">
      <c r="A488" s="124">
        <v>409.1</v>
      </c>
      <c r="B488" s="111" t="s">
        <v>965</v>
      </c>
      <c r="C488" s="121" t="s">
        <v>964</v>
      </c>
      <c r="D488" s="100"/>
    </row>
    <row r="489" spans="1:4" x14ac:dyDescent="0.2">
      <c r="A489" s="124">
        <v>410</v>
      </c>
      <c r="B489" s="98" t="s">
        <v>672</v>
      </c>
      <c r="C489" s="99" t="s">
        <v>673</v>
      </c>
      <c r="D489" s="100" t="str">
        <f t="shared" si="9"/>
        <v>да</v>
      </c>
    </row>
    <row r="490" spans="1:4" x14ac:dyDescent="0.2">
      <c r="A490" s="124">
        <v>411</v>
      </c>
      <c r="B490" s="98" t="s">
        <v>677</v>
      </c>
      <c r="C490" s="99" t="s">
        <v>676</v>
      </c>
      <c r="D490" s="100" t="str">
        <f t="shared" si="9"/>
        <v>да</v>
      </c>
    </row>
    <row r="491" spans="1:4" x14ac:dyDescent="0.2">
      <c r="A491" s="124">
        <v>411.1</v>
      </c>
      <c r="B491" s="98" t="s">
        <v>672</v>
      </c>
      <c r="C491" s="99" t="s">
        <v>673</v>
      </c>
      <c r="D491" s="100" t="str">
        <f t="shared" si="9"/>
        <v>да</v>
      </c>
    </row>
    <row r="492" spans="1:4" x14ac:dyDescent="0.2">
      <c r="A492" s="124">
        <v>411.2</v>
      </c>
      <c r="B492" s="98" t="s">
        <v>770</v>
      </c>
      <c r="C492" s="99" t="s">
        <v>769</v>
      </c>
      <c r="D492" s="100" t="str">
        <f t="shared" si="9"/>
        <v>да</v>
      </c>
    </row>
    <row r="493" spans="1:4" x14ac:dyDescent="0.2">
      <c r="A493" s="124">
        <v>412</v>
      </c>
      <c r="B493" s="130" t="s">
        <v>646</v>
      </c>
      <c r="C493" s="99" t="s">
        <v>647</v>
      </c>
      <c r="D493" s="100" t="str">
        <f t="shared" ref="D493:D515" si="10">IF(C493&lt;&gt;"","да","нет")</f>
        <v>да</v>
      </c>
    </row>
    <row r="494" spans="1:4" x14ac:dyDescent="0.2">
      <c r="A494" s="124">
        <v>413</v>
      </c>
      <c r="B494" s="98" t="s">
        <v>650</v>
      </c>
      <c r="C494" s="99" t="s">
        <v>680</v>
      </c>
      <c r="D494" s="100" t="str">
        <f t="shared" si="10"/>
        <v>да</v>
      </c>
    </row>
    <row r="495" spans="1:4" x14ac:dyDescent="0.2">
      <c r="A495" s="124">
        <v>414</v>
      </c>
      <c r="B495" s="98" t="s">
        <v>792</v>
      </c>
      <c r="C495" s="99" t="s">
        <v>791</v>
      </c>
      <c r="D495" s="100" t="str">
        <f t="shared" si="10"/>
        <v>да</v>
      </c>
    </row>
    <row r="496" spans="1:4" x14ac:dyDescent="0.2">
      <c r="A496" s="124">
        <v>415</v>
      </c>
      <c r="B496" s="98" t="s">
        <v>794</v>
      </c>
      <c r="C496" s="99" t="s">
        <v>685</v>
      </c>
      <c r="D496" s="100" t="str">
        <f t="shared" si="10"/>
        <v>да</v>
      </c>
    </row>
    <row r="497" spans="1:4" x14ac:dyDescent="0.2">
      <c r="A497" s="124">
        <v>416</v>
      </c>
      <c r="B497" s="98" t="s">
        <v>793</v>
      </c>
      <c r="C497" s="99" t="s">
        <v>795</v>
      </c>
      <c r="D497" s="100" t="str">
        <f t="shared" si="10"/>
        <v>да</v>
      </c>
    </row>
    <row r="498" spans="1:4" x14ac:dyDescent="0.2">
      <c r="A498" s="124">
        <v>416.1</v>
      </c>
      <c r="B498" s="98" t="s">
        <v>742</v>
      </c>
      <c r="C498" s="99" t="s">
        <v>706</v>
      </c>
      <c r="D498" s="100"/>
    </row>
    <row r="499" spans="1:4" x14ac:dyDescent="0.2">
      <c r="A499" s="124">
        <v>416.2</v>
      </c>
      <c r="B499" s="98" t="s">
        <v>739</v>
      </c>
      <c r="C499" s="99" t="s">
        <v>740</v>
      </c>
      <c r="D499" s="100" t="s">
        <v>367</v>
      </c>
    </row>
    <row r="500" spans="1:4" x14ac:dyDescent="0.2">
      <c r="A500" s="124">
        <v>416.3</v>
      </c>
      <c r="B500" s="136" t="s">
        <v>797</v>
      </c>
      <c r="C500" s="135" t="s">
        <v>796</v>
      </c>
      <c r="D500" s="100"/>
    </row>
    <row r="501" spans="1:4" x14ac:dyDescent="0.2">
      <c r="A501" s="124">
        <v>416.4</v>
      </c>
      <c r="B501" s="136" t="s">
        <v>772</v>
      </c>
      <c r="C501" s="135" t="s">
        <v>771</v>
      </c>
      <c r="D501" s="100"/>
    </row>
    <row r="502" spans="1:4" x14ac:dyDescent="0.2">
      <c r="A502" s="124">
        <v>416.5</v>
      </c>
      <c r="B502" s="136" t="s">
        <v>863</v>
      </c>
      <c r="C502" s="135" t="s">
        <v>862</v>
      </c>
      <c r="D502" s="100"/>
    </row>
    <row r="503" spans="1:4" x14ac:dyDescent="0.2">
      <c r="A503" s="124">
        <v>417</v>
      </c>
      <c r="B503" s="98" t="s">
        <v>648</v>
      </c>
      <c r="C503" s="99" t="s">
        <v>649</v>
      </c>
      <c r="D503" s="100" t="str">
        <f t="shared" si="10"/>
        <v>да</v>
      </c>
    </row>
    <row r="504" spans="1:4" x14ac:dyDescent="0.2">
      <c r="A504" s="124">
        <v>418</v>
      </c>
      <c r="B504" s="98" t="s">
        <v>684</v>
      </c>
      <c r="C504" s="99" t="s">
        <v>683</v>
      </c>
      <c r="D504" s="100" t="str">
        <f t="shared" si="10"/>
        <v>да</v>
      </c>
    </row>
    <row r="505" spans="1:4" x14ac:dyDescent="0.2">
      <c r="A505" s="124">
        <v>419</v>
      </c>
      <c r="B505" s="98" t="s">
        <v>651</v>
      </c>
      <c r="C505" s="99" t="s">
        <v>686</v>
      </c>
      <c r="D505" s="100" t="str">
        <f t="shared" si="10"/>
        <v>да</v>
      </c>
    </row>
    <row r="506" spans="1:4" x14ac:dyDescent="0.2">
      <c r="A506" s="124">
        <v>420</v>
      </c>
      <c r="B506" s="98" t="s">
        <v>741</v>
      </c>
      <c r="C506" s="99" t="s">
        <v>687</v>
      </c>
      <c r="D506" s="100" t="str">
        <f t="shared" si="10"/>
        <v>да</v>
      </c>
    </row>
    <row r="507" spans="1:4" x14ac:dyDescent="0.2">
      <c r="A507" s="124">
        <v>421</v>
      </c>
      <c r="B507" s="98" t="s">
        <v>652</v>
      </c>
      <c r="C507" s="99" t="s">
        <v>653</v>
      </c>
      <c r="D507" s="100" t="str">
        <f t="shared" si="10"/>
        <v>да</v>
      </c>
    </row>
    <row r="508" spans="1:4" x14ac:dyDescent="0.2">
      <c r="A508" s="124">
        <v>422</v>
      </c>
      <c r="B508" s="98" t="s">
        <v>815</v>
      </c>
      <c r="C508" s="99" t="s">
        <v>814</v>
      </c>
      <c r="D508" s="100" t="str">
        <f t="shared" si="10"/>
        <v>да</v>
      </c>
    </row>
    <row r="509" spans="1:4" ht="12.75" customHeight="1" x14ac:dyDescent="0.2">
      <c r="A509" s="124">
        <v>423</v>
      </c>
      <c r="B509" s="98" t="s">
        <v>831</v>
      </c>
      <c r="C509" s="99" t="s">
        <v>830</v>
      </c>
      <c r="D509" s="100" t="str">
        <f t="shared" si="10"/>
        <v>да</v>
      </c>
    </row>
    <row r="510" spans="1:4" ht="12.75" customHeight="1" x14ac:dyDescent="0.2">
      <c r="A510" s="124">
        <v>423.2</v>
      </c>
      <c r="B510" s="98" t="s">
        <v>893</v>
      </c>
      <c r="C510" s="99" t="s">
        <v>894</v>
      </c>
      <c r="D510" s="100" t="str">
        <f t="shared" si="10"/>
        <v>да</v>
      </c>
    </row>
    <row r="511" spans="1:4" ht="12.75" customHeight="1" x14ac:dyDescent="0.2">
      <c r="A511" s="124">
        <v>423.1</v>
      </c>
      <c r="B511" s="98" t="s">
        <v>777</v>
      </c>
      <c r="C511" s="99" t="s">
        <v>778</v>
      </c>
      <c r="D511" s="100" t="str">
        <f t="shared" si="10"/>
        <v>да</v>
      </c>
    </row>
    <row r="512" spans="1:4" x14ac:dyDescent="0.2">
      <c r="A512" s="124">
        <v>424</v>
      </c>
      <c r="B512" s="111" t="s">
        <v>759</v>
      </c>
      <c r="C512" s="121" t="s">
        <v>758</v>
      </c>
      <c r="D512" s="100" t="str">
        <f t="shared" si="10"/>
        <v>да</v>
      </c>
    </row>
    <row r="513" spans="1:4" x14ac:dyDescent="0.2">
      <c r="A513" s="124">
        <v>424.1</v>
      </c>
      <c r="B513" s="111" t="s">
        <v>780</v>
      </c>
      <c r="C513" s="121" t="s">
        <v>779</v>
      </c>
      <c r="D513" s="100" t="str">
        <f t="shared" si="10"/>
        <v>да</v>
      </c>
    </row>
    <row r="514" spans="1:4" x14ac:dyDescent="0.2">
      <c r="A514" s="124">
        <v>424.2</v>
      </c>
      <c r="B514" s="111" t="s">
        <v>832</v>
      </c>
      <c r="C514" s="121" t="s">
        <v>866</v>
      </c>
      <c r="D514" s="100" t="str">
        <f t="shared" si="10"/>
        <v>да</v>
      </c>
    </row>
    <row r="515" spans="1:4" x14ac:dyDescent="0.2">
      <c r="A515" s="124">
        <v>424.3</v>
      </c>
      <c r="B515" s="111" t="s">
        <v>879</v>
      </c>
      <c r="C515" s="121" t="s">
        <v>880</v>
      </c>
      <c r="D515" s="100" t="str">
        <f t="shared" si="10"/>
        <v>да</v>
      </c>
    </row>
    <row r="516" spans="1:4" x14ac:dyDescent="0.2">
      <c r="A516" s="124">
        <v>425</v>
      </c>
      <c r="B516" s="98" t="s">
        <v>682</v>
      </c>
      <c r="C516" s="99" t="s">
        <v>681</v>
      </c>
      <c r="D516" s="100" t="str">
        <f t="shared" ref="D516:D526" si="11">IF(C516&lt;&gt;"","да","нет")</f>
        <v>да</v>
      </c>
    </row>
    <row r="517" spans="1:4" x14ac:dyDescent="0.2">
      <c r="A517" s="124">
        <v>426</v>
      </c>
      <c r="B517" s="98" t="s">
        <v>837</v>
      </c>
      <c r="C517" s="99" t="s">
        <v>838</v>
      </c>
      <c r="D517" s="100" t="str">
        <f t="shared" si="11"/>
        <v>да</v>
      </c>
    </row>
    <row r="518" spans="1:4" x14ac:dyDescent="0.2">
      <c r="A518" s="124">
        <v>426.1</v>
      </c>
      <c r="B518" s="98" t="s">
        <v>774</v>
      </c>
      <c r="C518" s="99" t="s">
        <v>773</v>
      </c>
      <c r="D518" s="100" t="str">
        <f t="shared" si="11"/>
        <v>да</v>
      </c>
    </row>
    <row r="519" spans="1:4" x14ac:dyDescent="0.2">
      <c r="A519" s="124">
        <v>426.2</v>
      </c>
      <c r="B519" s="98" t="s">
        <v>809</v>
      </c>
      <c r="C519" s="99" t="s">
        <v>808</v>
      </c>
      <c r="D519" s="100" t="str">
        <f t="shared" si="11"/>
        <v>да</v>
      </c>
    </row>
    <row r="520" spans="1:4" x14ac:dyDescent="0.2">
      <c r="A520" s="124">
        <v>427</v>
      </c>
      <c r="B520" s="98" t="s">
        <v>688</v>
      </c>
      <c r="C520" s="99" t="s">
        <v>316</v>
      </c>
      <c r="D520" s="100" t="str">
        <f t="shared" si="11"/>
        <v>да</v>
      </c>
    </row>
    <row r="521" spans="1:4" x14ac:dyDescent="0.2">
      <c r="A521" s="124">
        <v>428</v>
      </c>
      <c r="B521" s="98" t="s">
        <v>736</v>
      </c>
      <c r="C521" s="99" t="s">
        <v>627</v>
      </c>
      <c r="D521" s="100" t="str">
        <f t="shared" si="11"/>
        <v>да</v>
      </c>
    </row>
    <row r="522" spans="1:4" x14ac:dyDescent="0.2">
      <c r="A522" s="124">
        <v>429</v>
      </c>
      <c r="B522" s="98" t="s">
        <v>660</v>
      </c>
      <c r="C522" s="99" t="s">
        <v>539</v>
      </c>
      <c r="D522" s="100" t="str">
        <f t="shared" si="11"/>
        <v>да</v>
      </c>
    </row>
    <row r="523" spans="1:4" x14ac:dyDescent="0.2">
      <c r="A523" s="124">
        <v>430</v>
      </c>
      <c r="B523" s="98" t="s">
        <v>689</v>
      </c>
      <c r="C523" s="99" t="s">
        <v>534</v>
      </c>
      <c r="D523" s="100" t="str">
        <f t="shared" si="11"/>
        <v>да</v>
      </c>
    </row>
    <row r="524" spans="1:4" ht="32.25" customHeight="1" x14ac:dyDescent="0.2">
      <c r="A524" s="124">
        <v>431</v>
      </c>
      <c r="B524" s="120" t="s">
        <v>760</v>
      </c>
      <c r="C524" s="109" t="s">
        <v>678</v>
      </c>
      <c r="D524" s="100" t="str">
        <f t="shared" si="11"/>
        <v>да</v>
      </c>
    </row>
    <row r="525" spans="1:4" ht="32.25" customHeight="1" x14ac:dyDescent="0.2">
      <c r="A525" s="124">
        <v>431.1</v>
      </c>
      <c r="B525" s="120" t="s">
        <v>782</v>
      </c>
      <c r="C525" s="109" t="s">
        <v>781</v>
      </c>
      <c r="D525" s="100" t="str">
        <f t="shared" si="11"/>
        <v>да</v>
      </c>
    </row>
    <row r="526" spans="1:4" ht="32.25" customHeight="1" x14ac:dyDescent="0.2">
      <c r="A526" s="124">
        <v>431.2</v>
      </c>
      <c r="B526" s="120" t="s">
        <v>817</v>
      </c>
      <c r="C526" s="109" t="s">
        <v>816</v>
      </c>
      <c r="D526" s="100" t="str">
        <f t="shared" si="11"/>
        <v>да</v>
      </c>
    </row>
    <row r="527" spans="1:4" x14ac:dyDescent="0.2">
      <c r="A527" s="124">
        <v>432</v>
      </c>
      <c r="B527" s="98" t="s">
        <v>665</v>
      </c>
      <c r="C527" s="109" t="s">
        <v>666</v>
      </c>
      <c r="D527" s="100" t="s">
        <v>367</v>
      </c>
    </row>
    <row r="528" spans="1:4" x14ac:dyDescent="0.2">
      <c r="A528" s="124">
        <v>433</v>
      </c>
      <c r="B528" s="98" t="s">
        <v>697</v>
      </c>
      <c r="C528" s="109" t="s">
        <v>696</v>
      </c>
      <c r="D528" s="100" t="s">
        <v>367</v>
      </c>
    </row>
    <row r="529" spans="1:4" x14ac:dyDescent="0.2">
      <c r="A529" s="124">
        <v>434</v>
      </c>
      <c r="B529" s="98" t="s">
        <v>700</v>
      </c>
      <c r="C529" s="99" t="s">
        <v>699</v>
      </c>
      <c r="D529" s="100"/>
    </row>
    <row r="530" spans="1:4" x14ac:dyDescent="0.2">
      <c r="A530" s="124">
        <v>435</v>
      </c>
      <c r="B530" s="98" t="s">
        <v>763</v>
      </c>
      <c r="C530" s="99" t="s">
        <v>701</v>
      </c>
      <c r="D530" s="100"/>
    </row>
    <row r="531" spans="1:4" x14ac:dyDescent="0.2">
      <c r="A531" s="124">
        <v>436</v>
      </c>
      <c r="B531" s="98" t="s">
        <v>703</v>
      </c>
      <c r="C531" s="99" t="s">
        <v>702</v>
      </c>
      <c r="D531" s="100"/>
    </row>
    <row r="532" spans="1:4" x14ac:dyDescent="0.2">
      <c r="A532" s="124">
        <v>437</v>
      </c>
      <c r="B532" s="98" t="s">
        <v>847</v>
      </c>
      <c r="C532" s="99" t="s">
        <v>845</v>
      </c>
      <c r="D532" s="100" t="s">
        <v>367</v>
      </c>
    </row>
    <row r="533" spans="1:4" x14ac:dyDescent="0.2">
      <c r="A533" s="124">
        <v>438</v>
      </c>
      <c r="B533" s="98" t="s">
        <v>848</v>
      </c>
      <c r="C533" s="99" t="s">
        <v>846</v>
      </c>
      <c r="D533" s="100" t="s">
        <v>367</v>
      </c>
    </row>
    <row r="534" spans="1:4" x14ac:dyDescent="0.2">
      <c r="A534" s="124">
        <v>439</v>
      </c>
      <c r="B534" s="98" t="s">
        <v>727</v>
      </c>
      <c r="C534" s="99" t="s">
        <v>726</v>
      </c>
      <c r="D534" s="100" t="s">
        <v>367</v>
      </c>
    </row>
    <row r="535" spans="1:4" x14ac:dyDescent="0.2">
      <c r="A535" s="124">
        <v>440</v>
      </c>
      <c r="B535" s="98" t="s">
        <v>731</v>
      </c>
      <c r="C535" s="99" t="s">
        <v>730</v>
      </c>
      <c r="D535" s="100" t="s">
        <v>367</v>
      </c>
    </row>
    <row r="536" spans="1:4" x14ac:dyDescent="0.2">
      <c r="A536" s="124">
        <v>441</v>
      </c>
      <c r="B536" s="98" t="s">
        <v>857</v>
      </c>
      <c r="C536" s="99" t="s">
        <v>936</v>
      </c>
      <c r="D536" s="100" t="s">
        <v>367</v>
      </c>
    </row>
    <row r="537" spans="1:4" x14ac:dyDescent="0.2">
      <c r="A537" s="124">
        <v>442</v>
      </c>
      <c r="B537" s="98" t="s">
        <v>733</v>
      </c>
      <c r="C537" s="99" t="s">
        <v>734</v>
      </c>
      <c r="D537" s="100" t="s">
        <v>367</v>
      </c>
    </row>
    <row r="538" spans="1:4" x14ac:dyDescent="0.2">
      <c r="A538" s="124">
        <v>443</v>
      </c>
      <c r="B538" s="98" t="s">
        <v>695</v>
      </c>
      <c r="C538" s="99" t="s">
        <v>692</v>
      </c>
      <c r="D538" s="100" t="s">
        <v>367</v>
      </c>
    </row>
    <row r="539" spans="1:4" x14ac:dyDescent="0.2">
      <c r="B539" s="132">
        <v>43281</v>
      </c>
    </row>
    <row r="540" spans="1:4" x14ac:dyDescent="0.2">
      <c r="B540" s="132">
        <f>B539+60</f>
        <v>43341</v>
      </c>
    </row>
    <row r="541" spans="1:4" x14ac:dyDescent="0.2">
      <c r="A541" s="131">
        <v>444</v>
      </c>
      <c r="B541" s="126" t="s">
        <v>738</v>
      </c>
      <c r="C541" s="133" t="s">
        <v>737</v>
      </c>
      <c r="D541" s="100" t="s">
        <v>367</v>
      </c>
    </row>
    <row r="542" spans="1:4" x14ac:dyDescent="0.2">
      <c r="A542" s="131">
        <v>445</v>
      </c>
      <c r="B542" s="126" t="s">
        <v>826</v>
      </c>
      <c r="C542" s="133" t="s">
        <v>825</v>
      </c>
      <c r="D542" s="100" t="s">
        <v>367</v>
      </c>
    </row>
    <row r="543" spans="1:4" x14ac:dyDescent="0.2">
      <c r="A543" s="131">
        <v>446</v>
      </c>
      <c r="B543" s="126" t="s">
        <v>957</v>
      </c>
      <c r="C543" s="149" t="s">
        <v>956</v>
      </c>
    </row>
    <row r="544" spans="1:4" x14ac:dyDescent="0.2">
      <c r="A544" s="131">
        <v>447</v>
      </c>
      <c r="B544" s="126" t="s">
        <v>867</v>
      </c>
      <c r="C544" s="174" t="s">
        <v>933</v>
      </c>
      <c r="D544" s="100" t="s">
        <v>367</v>
      </c>
    </row>
    <row r="545" spans="1:4" x14ac:dyDescent="0.2">
      <c r="A545" s="131">
        <v>448</v>
      </c>
      <c r="B545" s="126" t="s">
        <v>937</v>
      </c>
      <c r="C545" s="133" t="s">
        <v>938</v>
      </c>
      <c r="D545" s="100" t="s">
        <v>367</v>
      </c>
    </row>
    <row r="546" spans="1:4" x14ac:dyDescent="0.2">
      <c r="A546" s="108">
        <v>299.10000000000002</v>
      </c>
      <c r="B546" s="98" t="s">
        <v>884</v>
      </c>
      <c r="C546" s="99" t="s">
        <v>883</v>
      </c>
      <c r="D546" s="100" t="str">
        <f t="shared" ref="D546:D547" si="12">IF(C546&lt;&gt;"","да","нет")</f>
        <v>да</v>
      </c>
    </row>
    <row r="547" spans="1:4" x14ac:dyDescent="0.2">
      <c r="A547" s="124">
        <v>416.6</v>
      </c>
      <c r="B547" s="136" t="s">
        <v>863</v>
      </c>
      <c r="C547" s="135" t="s">
        <v>899</v>
      </c>
      <c r="D547" s="100" t="str">
        <f t="shared" si="12"/>
        <v>да</v>
      </c>
    </row>
    <row r="548" spans="1:4" x14ac:dyDescent="0.2">
      <c r="A548" s="131">
        <v>185.2</v>
      </c>
      <c r="B548" s="126" t="s">
        <v>924</v>
      </c>
      <c r="C548" s="167" t="s">
        <v>905</v>
      </c>
    </row>
    <row r="549" spans="1:4" ht="23.25" x14ac:dyDescent="0.2">
      <c r="A549" s="124">
        <v>431.3</v>
      </c>
      <c r="C549" s="109" t="s">
        <v>906</v>
      </c>
    </row>
    <row r="550" spans="1:4" x14ac:dyDescent="0.2">
      <c r="A550" s="131">
        <v>448.1</v>
      </c>
      <c r="B550" s="126" t="s">
        <v>908</v>
      </c>
      <c r="C550" s="133" t="s">
        <v>907</v>
      </c>
    </row>
    <row r="551" spans="1:4" x14ac:dyDescent="0.2">
      <c r="A551" s="131">
        <v>449</v>
      </c>
      <c r="B551" s="126" t="s">
        <v>926</v>
      </c>
      <c r="C551" s="133" t="s">
        <v>946</v>
      </c>
    </row>
    <row r="552" spans="1:4" ht="15" x14ac:dyDescent="0.25">
      <c r="A552" s="131">
        <v>450</v>
      </c>
      <c r="B552" s="173" t="s">
        <v>928</v>
      </c>
      <c r="C552" s="133" t="s">
        <v>944</v>
      </c>
    </row>
    <row r="553" spans="1:4" x14ac:dyDescent="0.2">
      <c r="A553" s="131">
        <v>451</v>
      </c>
      <c r="B553" s="126" t="s">
        <v>939</v>
      </c>
      <c r="C553" s="133" t="s">
        <v>945</v>
      </c>
    </row>
  </sheetData>
  <sheetProtection sheet="1" objects="1" scenarios="1" selectLockedCells="1" selectUnlockedCells="1"/>
  <autoFilter ref="A1:D553"/>
  <customSheetViews>
    <customSheetView guid="{EF7F1FF5-A363-4212-950F-F377D0676E4F}" fitToPage="1" filter="1" showAutoFilter="1">
      <pane xSplit="2" ySplit="542" topLeftCell="C544" activePane="bottomRight" state="frozen"/>
      <selection pane="bottomRight" activeCell="C551" sqref="C551"/>
      <pageMargins left="0.70866141732283472" right="0.70866141732283472" top="0.74803149606299213" bottom="0.74803149606299213" header="0.31496062992125984" footer="0.31496062992125984"/>
      <pageSetup paperSize="9" scale="32" fitToHeight="3" orientation="portrait" r:id="rId1"/>
      <autoFilter ref="A1:D543">
        <filterColumn colId="0">
          <filters>
            <filter val="365"/>
            <filter val="365,1"/>
            <filter val="365,2"/>
          </filters>
        </filterColumn>
      </autoFilter>
    </customSheetView>
    <customSheetView guid="{BA259822-0E07-4052-A562-F895651CF688}" fitToPage="1" showAutoFilter="1" topLeftCell="A451">
      <selection activeCell="A471" sqref="A471"/>
      <pageMargins left="0.70866141732283472" right="0.70866141732283472" top="0.74803149606299213" bottom="0.74803149606299213" header="0.31496062992125984" footer="0.31496062992125984"/>
      <pageSetup paperSize="9" scale="32" fitToHeight="3" orientation="portrait" r:id="rId2"/>
      <autoFilter ref="A1:D540"/>
    </customSheetView>
    <customSheetView guid="{EC5F2008-392D-40E4-B096-5FE6B8C97B31}" fitToPage="1" filter="1" showAutoFilter="1">
      <pane xSplit="2" ySplit="1" topLeftCell="C2" activePane="bottomRight" state="frozen"/>
      <selection pane="bottomRight" activeCell="B569" sqref="B569"/>
      <pageMargins left="0.70866141732283472" right="0.70866141732283472" top="0.74803149606299213" bottom="0.74803149606299213" header="0.31496062992125984" footer="0.31496062992125984"/>
      <pageSetup paperSize="9" scale="32" fitToHeight="3" orientation="portrait" r:id="rId3"/>
      <autoFilter ref="A1:D540">
        <filterColumn colId="0">
          <filters>
            <filter val="441"/>
          </filters>
        </filterColumn>
      </autoFilter>
    </customSheetView>
    <customSheetView guid="{16DABAA0-1513-42C6-9007-B1BF840F9470}" fitToPage="1" showAutoFilter="1" topLeftCell="A505">
      <selection activeCell="B519" sqref="B519"/>
      <pageMargins left="0.70866141732283472" right="0.70866141732283472" top="0.74803149606299213" bottom="0.74803149606299213" header="0.31496062992125984" footer="0.31496062992125984"/>
      <pageSetup paperSize="9" scale="32" fitToHeight="3" orientation="portrait" r:id="rId4"/>
      <autoFilter ref="A1:D540"/>
    </customSheetView>
    <customSheetView guid="{371123B4-BB2D-4334-AFFE-1C19B7394DB8}" scale="90" fitToPage="1" showAutoFilter="1" topLeftCell="C451">
      <selection activeCell="C476" sqref="C476"/>
      <pageMargins left="0.70866141732283472" right="0.70866141732283472" top="0.74803149606299213" bottom="0.74803149606299213" header="0.31496062992125984" footer="0.31496062992125984"/>
      <pageSetup paperSize="9" scale="32" fitToHeight="3" orientation="portrait" r:id="rId5"/>
      <autoFilter ref="A1:D465"/>
    </customSheetView>
    <customSheetView guid="{F7754C05-3DA4-4D41-8D23-8E948B6B42DF}" fitToPage="1" showAutoFilter="1" topLeftCell="A490">
      <selection activeCell="C535" sqref="C535"/>
      <pageMargins left="0.70866141732283472" right="0.70866141732283472" top="0.74803149606299213" bottom="0.74803149606299213" header="0.31496062992125984" footer="0.31496062992125984"/>
      <pageSetup paperSize="9" scale="32" fitToHeight="3" orientation="portrait" r:id="rId6"/>
      <autoFilter ref="A1:D546"/>
    </customSheetView>
  </customSheetViews>
  <conditionalFormatting sqref="D539:D540 D457:D469 D472:D482 D529:D532 D487:D522 D417:D444 D543:D545 D548:D1048576">
    <cfRule type="containsText" dxfId="28" priority="43" stopIfTrue="1" operator="containsText" text="нет">
      <formula>NOT(ISERROR(SEARCH("нет",D417)))</formula>
    </cfRule>
  </conditionalFormatting>
  <conditionalFormatting sqref="D1:D10 D281:D285 D228:D278 D85:D148 D150:D205 D287:D330 D344 D207:D226 D12:D83 D332:D342 D346:D414">
    <cfRule type="containsText" dxfId="27" priority="42" stopIfTrue="1" operator="containsText" text="нет">
      <formula>NOT(ISERROR(SEARCH("нет",D1)))</formula>
    </cfRule>
  </conditionalFormatting>
  <conditionalFormatting sqref="D415">
    <cfRule type="containsText" dxfId="26" priority="41" stopIfTrue="1" operator="containsText" text="нет">
      <formula>NOT(ISERROR(SEARCH("нет",D415)))</formula>
    </cfRule>
  </conditionalFormatting>
  <conditionalFormatting sqref="D416">
    <cfRule type="containsText" dxfId="25" priority="40" stopIfTrue="1" operator="containsText" text="нет">
      <formula>NOT(ISERROR(SEARCH("нет",D416)))</formula>
    </cfRule>
  </conditionalFormatting>
  <conditionalFormatting sqref="D11">
    <cfRule type="containsText" dxfId="24" priority="39" stopIfTrue="1" operator="containsText" text="нет">
      <formula>NOT(ISERROR(SEARCH("нет",D11)))</formula>
    </cfRule>
  </conditionalFormatting>
  <conditionalFormatting sqref="D84">
    <cfRule type="containsText" dxfId="23" priority="38" stopIfTrue="1" operator="containsText" text="нет">
      <formula>NOT(ISERROR(SEARCH("нет",D84)))</formula>
    </cfRule>
  </conditionalFormatting>
  <conditionalFormatting sqref="D279">
    <cfRule type="containsText" dxfId="22" priority="37" stopIfTrue="1" operator="containsText" text="нет">
      <formula>NOT(ISERROR(SEARCH("нет",D279)))</formula>
    </cfRule>
  </conditionalFormatting>
  <conditionalFormatting sqref="D280">
    <cfRule type="containsText" dxfId="21" priority="36" stopIfTrue="1" operator="containsText" text="нет">
      <formula>NOT(ISERROR(SEARCH("нет",D280)))</formula>
    </cfRule>
  </conditionalFormatting>
  <conditionalFormatting sqref="D227">
    <cfRule type="containsText" dxfId="20" priority="34" stopIfTrue="1" operator="containsText" text="нет">
      <formula>NOT(ISERROR(SEARCH("нет",D227)))</formula>
    </cfRule>
  </conditionalFormatting>
  <conditionalFormatting sqref="D206">
    <cfRule type="containsText" dxfId="19" priority="33" stopIfTrue="1" operator="containsText" text="нет">
      <formula>NOT(ISERROR(SEARCH("нет",D206)))</formula>
    </cfRule>
  </conditionalFormatting>
  <conditionalFormatting sqref="D286">
    <cfRule type="containsText" dxfId="18" priority="35" stopIfTrue="1" operator="containsText" text="нет">
      <formula>NOT(ISERROR(SEARCH("нет",D286)))</formula>
    </cfRule>
  </conditionalFormatting>
  <conditionalFormatting sqref="D331">
    <cfRule type="containsText" dxfId="17" priority="31" stopIfTrue="1" operator="containsText" text="нет">
      <formula>NOT(ISERROR(SEARCH("нет",D331)))</formula>
    </cfRule>
  </conditionalFormatting>
  <conditionalFormatting sqref="D149">
    <cfRule type="containsText" dxfId="16" priority="30" stopIfTrue="1" operator="containsText" text="нет">
      <formula>NOT(ISERROR(SEARCH("нет",D149)))</formula>
    </cfRule>
  </conditionalFormatting>
  <conditionalFormatting sqref="D483">
    <cfRule type="containsText" dxfId="15" priority="25" stopIfTrue="1" operator="containsText" text="нет">
      <formula>NOT(ISERROR(SEARCH("нет",D483)))</formula>
    </cfRule>
  </conditionalFormatting>
  <conditionalFormatting sqref="D484">
    <cfRule type="containsText" dxfId="14" priority="24" stopIfTrue="1" operator="containsText" text="нет">
      <formula>NOT(ISERROR(SEARCH("нет",D484)))</formula>
    </cfRule>
  </conditionalFormatting>
  <conditionalFormatting sqref="D485">
    <cfRule type="containsText" dxfId="13" priority="23" stopIfTrue="1" operator="containsText" text="нет">
      <formula>NOT(ISERROR(SEARCH("нет",D485)))</formula>
    </cfRule>
  </conditionalFormatting>
  <conditionalFormatting sqref="D486">
    <cfRule type="containsText" dxfId="12" priority="22" stopIfTrue="1" operator="containsText" text="нет">
      <formula>NOT(ISERROR(SEARCH("нет",D486)))</formula>
    </cfRule>
  </conditionalFormatting>
  <conditionalFormatting sqref="D523:D526">
    <cfRule type="containsText" dxfId="11" priority="21" stopIfTrue="1" operator="containsText" text="нет">
      <formula>NOT(ISERROR(SEARCH("нет",D523)))</formula>
    </cfRule>
  </conditionalFormatting>
  <conditionalFormatting sqref="D527">
    <cfRule type="containsText" dxfId="10" priority="19" stopIfTrue="1" operator="containsText" text="нет">
      <formula>NOT(ISERROR(SEARCH("нет",D527)))</formula>
    </cfRule>
  </conditionalFormatting>
  <conditionalFormatting sqref="D528">
    <cfRule type="containsText" dxfId="9" priority="17" stopIfTrue="1" operator="containsText" text="нет">
      <formula>NOT(ISERROR(SEARCH("нет",D528)))</formula>
    </cfRule>
  </conditionalFormatting>
  <conditionalFormatting sqref="D470:D471">
    <cfRule type="containsText" dxfId="8" priority="16" stopIfTrue="1" operator="containsText" text="нет">
      <formula>NOT(ISERROR(SEARCH("нет",D470)))</formula>
    </cfRule>
  </conditionalFormatting>
  <conditionalFormatting sqref="D448:D456">
    <cfRule type="containsText" dxfId="7" priority="13" stopIfTrue="1" operator="containsText" text="нет">
      <formula>NOT(ISERROR(SEARCH("нет",D448)))</formula>
    </cfRule>
  </conditionalFormatting>
  <conditionalFormatting sqref="D343">
    <cfRule type="containsText" dxfId="6" priority="12" stopIfTrue="1" operator="containsText" text="нет">
      <formula>NOT(ISERROR(SEARCH("нет",D343)))</formula>
    </cfRule>
  </conditionalFormatting>
  <conditionalFormatting sqref="D345">
    <cfRule type="containsText" dxfId="5" priority="11" stopIfTrue="1" operator="containsText" text="нет">
      <formula>NOT(ISERROR(SEARCH("нет",D345)))</formula>
    </cfRule>
  </conditionalFormatting>
  <conditionalFormatting sqref="D533:D538">
    <cfRule type="containsText" dxfId="4" priority="10" stopIfTrue="1" operator="containsText" text="нет">
      <formula>NOT(ISERROR(SEARCH("нет",D533)))</formula>
    </cfRule>
  </conditionalFormatting>
  <conditionalFormatting sqref="D445:D447">
    <cfRule type="containsText" dxfId="3" priority="6" stopIfTrue="1" operator="containsText" text="нет">
      <formula>NOT(ISERROR(SEARCH("нет",D445)))</formula>
    </cfRule>
  </conditionalFormatting>
  <conditionalFormatting sqref="D541:D542">
    <cfRule type="containsText" dxfId="2" priority="4" stopIfTrue="1" operator="containsText" text="нет">
      <formula>NOT(ISERROR(SEARCH("нет",D541)))</formula>
    </cfRule>
  </conditionalFormatting>
  <conditionalFormatting sqref="D546">
    <cfRule type="containsText" dxfId="1" priority="3" stopIfTrue="1" operator="containsText" text="нет">
      <formula>NOT(ISERROR(SEARCH("нет",D546)))</formula>
    </cfRule>
  </conditionalFormatting>
  <conditionalFormatting sqref="D547">
    <cfRule type="containsText" dxfId="0" priority="1" stopIfTrue="1" operator="containsText" text="нет">
      <formula>NOT(ISERROR(SEARCH("нет",D547)))</formula>
    </cfRule>
  </conditionalFormatting>
  <pageMargins left="0.70866141732283472" right="0.70866141732283472" top="0.74803149606299213" bottom="0.74803149606299213" header="0.31496062992125984" footer="0.31496062992125984"/>
  <pageSetup paperSize="9" scale="32" fitToHeight="3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theme="3" tint="0.59999389629810485"/>
  </sheetPr>
  <dimension ref="A1:E23"/>
  <sheetViews>
    <sheetView showGridLines="0" tabSelected="1" showRuler="0" zoomScaleNormal="100" workbookViewId="0"/>
  </sheetViews>
  <sheetFormatPr defaultColWidth="0" defaultRowHeight="15" customHeight="1" zeroHeight="1" x14ac:dyDescent="0.2"/>
  <cols>
    <col min="1" max="1" width="6.21875" customWidth="1"/>
    <col min="2" max="2" width="78.5546875" customWidth="1"/>
    <col min="3" max="4" width="8.88671875" customWidth="1"/>
    <col min="5" max="5" width="2.44140625" hidden="1" customWidth="1"/>
    <col min="6" max="16384" width="8.88671875" hidden="1"/>
  </cols>
  <sheetData>
    <row r="1" spans="2:5" s="5" customFormat="1" ht="13.5" customHeight="1" x14ac:dyDescent="0.2"/>
    <row r="2" spans="2:5" s="5" customFormat="1" ht="13.5" customHeight="1" x14ac:dyDescent="0.2"/>
    <row r="3" spans="2:5" s="5" customFormat="1" ht="13.5" customHeight="1" x14ac:dyDescent="0.2">
      <c r="B3" s="43" t="str">
        <f>VLOOKUP(329,dict!$A:$C,Contents!$D$14,0)</f>
        <v>Выбор языка</v>
      </c>
      <c r="C3" s="43"/>
    </row>
    <row r="4" spans="2:5" s="5" customFormat="1" ht="13.5" customHeight="1" x14ac:dyDescent="0.2"/>
    <row r="5" spans="2:5" s="5" customFormat="1" ht="13.5" customHeight="1" x14ac:dyDescent="0.2"/>
    <row r="6" spans="2:5" s="13" customFormat="1" ht="13.5" customHeight="1" x14ac:dyDescent="0.2"/>
    <row r="7" spans="2:5" ht="72.75" customHeight="1" x14ac:dyDescent="0.2">
      <c r="B7" s="176" t="str">
        <f>VLOOKUP(10,dict!$A:$C,Contents!$D$14,0)</f>
        <v>Банк "Возрождение": дополнительная информация для аналитиков по 
Консолидированной финансовой отчетности по МСФО за год, закончившийся 31 декабря 2020 года</v>
      </c>
      <c r="C7" s="176"/>
      <c r="D7" s="40"/>
      <c r="E7" s="40"/>
    </row>
    <row r="8" spans="2:5" ht="15.75" x14ac:dyDescent="0.25">
      <c r="C8" s="29"/>
      <c r="D8" s="1"/>
      <c r="E8" s="1"/>
    </row>
    <row r="9" spans="2:5" ht="15.75" x14ac:dyDescent="0.25">
      <c r="B9" s="18" t="str">
        <f>VLOOKUP(2,dict!$A:$C,Contents!$D$14,0)</f>
        <v>Консолидированный отчет о финансовом положении</v>
      </c>
      <c r="C9" s="39"/>
    </row>
    <row r="10" spans="2:5" ht="15.75" x14ac:dyDescent="0.25">
      <c r="B10" s="18" t="str">
        <f>VLOOKUP(6,dict!$A:$C,Contents!$D$14,0)</f>
        <v>Консолидированный отчет о прибыли или убытке и прочем совокупном доходе</v>
      </c>
      <c r="C10" s="18"/>
    </row>
    <row r="11" spans="2:5" ht="15.75" x14ac:dyDescent="0.25">
      <c r="B11" s="18" t="str">
        <f>VLOOKUP(8,dict!$A:$C,Contents!$D$14,0)</f>
        <v>Консолидированный отчет об изменениях в собственном капитале</v>
      </c>
      <c r="C11" s="18"/>
    </row>
    <row r="12" spans="2:5" ht="15.75" x14ac:dyDescent="0.25">
      <c r="B12" s="18" t="str">
        <f>VLOOKUP(9,dict!$A:$C,Contents!$D$14,0)</f>
        <v>Консолидированный отчет о движении денежных средств</v>
      </c>
      <c r="C12" s="18"/>
    </row>
    <row r="13" spans="2:5" ht="15.75" x14ac:dyDescent="0.25">
      <c r="B13" s="44"/>
      <c r="C13" s="44"/>
      <c r="D13" s="44">
        <f>IF(C14="ENG",2,3)</f>
        <v>3</v>
      </c>
      <c r="E13" s="1"/>
    </row>
    <row r="14" spans="2:5" ht="15.75" x14ac:dyDescent="0.25">
      <c r="B14" s="45" t="s">
        <v>20</v>
      </c>
      <c r="C14" s="46" t="s">
        <v>362</v>
      </c>
      <c r="D14" s="44">
        <f>D15+1</f>
        <v>3</v>
      </c>
      <c r="E14" s="1"/>
    </row>
    <row r="15" spans="2:5" ht="15.75" x14ac:dyDescent="0.25">
      <c r="B15" s="44"/>
      <c r="C15" s="44" t="s">
        <v>361</v>
      </c>
      <c r="D15" s="44">
        <v>2</v>
      </c>
      <c r="E15" s="1"/>
    </row>
    <row r="16" spans="2:5" ht="15.75" x14ac:dyDescent="0.25">
      <c r="B16" s="44"/>
      <c r="C16" s="44" t="s">
        <v>362</v>
      </c>
      <c r="D16" s="44"/>
      <c r="E16" s="1"/>
    </row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</sheetData>
  <customSheetViews>
    <customSheetView guid="{EF7F1FF5-A363-4212-950F-F377D0676E4F}" showGridLines="0" hiddenRows="1" hiddenColumns="1" showRuler="0">
      <pageMargins left="0.75" right="0.75" top="1" bottom="1" header="0.5" footer="0.5"/>
      <pageSetup paperSize="9" orientation="portrait" horizontalDpi="1200" verticalDpi="1200" r:id="rId1"/>
      <headerFooter alignWithMargins="0"/>
    </customSheetView>
    <customSheetView guid="{BA259822-0E07-4052-A562-F895651CF688}" showGridLines="0" hiddenRows="1" hiddenColumns="1" showRuler="0">
      <selection activeCell="B17" sqref="B17"/>
      <pageMargins left="0.75" right="0.75" top="1" bottom="1" header="0.5" footer="0.5"/>
      <pageSetup paperSize="9" orientation="portrait" horizontalDpi="1200" verticalDpi="1200" r:id="rId2"/>
      <headerFooter alignWithMargins="0"/>
    </customSheetView>
    <customSheetView guid="{EC5F2008-392D-40E4-B096-5FE6B8C97B31}" showGridLines="0" hiddenRows="1" hiddenColumns="1" showRuler="0">
      <selection activeCell="B7" sqref="B7:C7"/>
      <pageMargins left="0.75" right="0.75" top="1" bottom="1" header="0.5" footer="0.5"/>
      <pageSetup paperSize="9" orientation="portrait" horizontalDpi="1200" verticalDpi="1200" r:id="rId3"/>
      <headerFooter alignWithMargins="0"/>
    </customSheetView>
    <customSheetView guid="{16DABAA0-1513-42C6-9007-B1BF840F9470}" showGridLines="0" hiddenRows="1" hiddenColumns="1" showRuler="0">
      <selection activeCell="D3" sqref="D3"/>
      <pageMargins left="0.75" right="0.75" top="1" bottom="1" header="0.5" footer="0.5"/>
      <pageSetup paperSize="9" orientation="portrait" horizontalDpi="1200" verticalDpi="1200" r:id="rId4"/>
      <headerFooter alignWithMargins="0"/>
    </customSheetView>
    <customSheetView guid="{371123B4-BB2D-4334-AFFE-1C19B7394DB8}" showGridLines="0" hiddenRows="1" hiddenColumns="1" showRuler="0">
      <selection activeCell="B17" sqref="B17"/>
      <pageMargins left="0.75" right="0.75" top="1" bottom="1" header="0.5" footer="0.5"/>
      <pageSetup paperSize="9" orientation="portrait" horizontalDpi="1200" verticalDpi="1200" r:id="rId5"/>
      <headerFooter alignWithMargins="0"/>
    </customSheetView>
    <customSheetView guid="{E2FF84D5-4AA5-487D-9BD4-62B26247C042}" showPageBreaks="1" showRuler="0">
      <selection activeCell="A20" sqref="A20"/>
      <pageMargins left="0.75" right="0.75" top="1" bottom="1" header="0.5" footer="0.5"/>
      <pageSetup paperSize="9" orientation="portrait" horizontalDpi="1200" verticalDpi="1200" r:id="rId6"/>
      <headerFooter alignWithMargins="0"/>
    </customSheetView>
    <customSheetView guid="{91AD1FE3-D144-4231-BFD3-69CCAD3A157C}" showRuler="0">
      <selection activeCell="A8" sqref="A8"/>
      <pageMargins left="0.75" right="0.75" top="1" bottom="1" header="0.5" footer="0.5"/>
      <pageSetup paperSize="9" orientation="portrait" horizontalDpi="1200" verticalDpi="1200" r:id="rId7"/>
      <headerFooter alignWithMargins="0"/>
    </customSheetView>
    <customSheetView guid="{78A2E613-9A38-4028-90E9-40A4D5FC75E6}" showRuler="0">
      <selection activeCell="A8" sqref="A8"/>
      <pageMargins left="0.75" right="0.75" top="1" bottom="1" header="0.5" footer="0.5"/>
      <pageSetup paperSize="9" orientation="portrait" horizontalDpi="1200" verticalDpi="1200" r:id="rId8"/>
      <headerFooter alignWithMargins="0"/>
    </customSheetView>
    <customSheetView guid="{F7754C05-3DA4-4D41-8D23-8E948B6B42DF}" showGridLines="0" hiddenRows="1" hiddenColumns="1" showRuler="0">
      <selection activeCell="B9" sqref="B9"/>
      <pageMargins left="0.75" right="0.75" top="1" bottom="1" header="0.5" footer="0.5"/>
      <pageSetup paperSize="9" orientation="portrait" horizontalDpi="1200" verticalDpi="1200" r:id="rId9"/>
      <headerFooter alignWithMargins="0"/>
    </customSheetView>
  </customSheetViews>
  <mergeCells count="1">
    <mergeCell ref="B7:C7"/>
  </mergeCells>
  <phoneticPr fontId="6" type="noConversion"/>
  <dataValidations count="1">
    <dataValidation type="list" allowBlank="1" showInputMessage="1" showErrorMessage="1" sqref="C14">
      <formula1>$C$15:$C$16</formula1>
    </dataValidation>
  </dataValidations>
  <hyperlinks>
    <hyperlink ref="B10" location="'Statement of compreh income'!A1" display="'Statement of compreh income'!A1"/>
    <hyperlink ref="B9" location="'Statement of fin position'!A1" display="'Statement of fin position'!A1"/>
    <hyperlink ref="B11" location="'Statement of changes in equity'!A1" display="'Statement of changes in equity'!A1"/>
    <hyperlink ref="B12" location="'Statement of cash flows'!A1" display="'Statement of cash flows'!A1"/>
  </hyperlinks>
  <pageMargins left="0.75" right="0.75" top="1" bottom="1" header="0.5" footer="0.5"/>
  <pageSetup paperSize="9" orientation="portrait" horizontalDpi="1200" verticalDpi="1200" r:id="rId10"/>
  <headerFooter alignWithMargins="0"/>
  <drawing r:id="rId11"/>
  <legacyDrawing r:id="rId1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767" r:id="rId13" name="Drop Down 599">
              <controlPr defaultSize="0" autoLine="0" autoPict="0">
                <anchor moveWithCells="1">
                  <from>
                    <xdr:col>2</xdr:col>
                    <xdr:colOff>19050</xdr:colOff>
                    <xdr:row>2</xdr:row>
                    <xdr:rowOff>0</xdr:rowOff>
                  </from>
                  <to>
                    <xdr:col>3</xdr:col>
                    <xdr:colOff>19050</xdr:colOff>
                    <xdr:row>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tabColor theme="3" tint="0.59999389629810485"/>
  </sheetPr>
  <dimension ref="A1:IM48"/>
  <sheetViews>
    <sheetView showGridLines="0" showRuler="0" zoomScale="90" zoomScaleNormal="90" workbookViewId="0">
      <pane ySplit="7" topLeftCell="A23" activePane="bottomLeft" state="frozen"/>
      <selection pane="bottomLeft" activeCell="A31" sqref="A31"/>
    </sheetView>
  </sheetViews>
  <sheetFormatPr defaultColWidth="7.109375" defaultRowHeight="15" x14ac:dyDescent="0.2"/>
  <cols>
    <col min="1" max="1" width="56.44140625" customWidth="1"/>
    <col min="2" max="2" width="10.44140625" customWidth="1"/>
    <col min="3" max="3" width="12.44140625" customWidth="1"/>
    <col min="4" max="4" width="18.109375" customWidth="1"/>
    <col min="5" max="6" width="12.77734375" customWidth="1"/>
    <col min="7" max="22" width="11.77734375" customWidth="1"/>
    <col min="23" max="33" width="11.6640625" customWidth="1"/>
  </cols>
  <sheetData>
    <row r="1" spans="1:247" s="5" customFormat="1" ht="12.75" x14ac:dyDescent="0.2"/>
    <row r="2" spans="1:247" s="5" customFormat="1" ht="12.75" x14ac:dyDescent="0.2"/>
    <row r="3" spans="1:247" s="5" customFormat="1" ht="12.75" x14ac:dyDescent="0.2">
      <c r="C3" s="43" t="s">
        <v>390</v>
      </c>
    </row>
    <row r="4" spans="1:247" s="5" customFormat="1" ht="12.75" x14ac:dyDescent="0.2"/>
    <row r="5" spans="1:247" s="5" customFormat="1" ht="12.75" x14ac:dyDescent="0.2"/>
    <row r="6" spans="1:247" s="47" customFormat="1" ht="32.25" customHeight="1" thickBot="1" x14ac:dyDescent="0.25">
      <c r="A6" s="179" t="str">
        <f>VLOOKUP(2,dict!$A:$C,Contents!$D$14,0)</f>
        <v>Консолидированный отчет о финансовом положении</v>
      </c>
      <c r="B6" s="177" t="str">
        <f>VLOOKUP(33,dict!$A:$C,Contents!$D$14,0)</f>
        <v>Содержание</v>
      </c>
      <c r="C6" s="180" t="str">
        <f>VLOOKUP(2,dict!$A:$C,Contents!$D$14,0)</f>
        <v>Консолидированный отчет о финансовом положении</v>
      </c>
      <c r="D6" s="178" t="str">
        <f>VLOOKUP(6,dict!$A:$C,Contents!$D$14,0)</f>
        <v>Консолидированный отчет о прибыли или убытке и прочем совокупном доходе</v>
      </c>
      <c r="E6" s="178" t="str">
        <f>VLOOKUP(8,dict!$A:$C,Contents!$D$14,0)</f>
        <v>Консолидированный отчет об изменениях в собственном капитале</v>
      </c>
      <c r="F6" s="178" t="str">
        <f>VLOOKUP(9,dict!$A:$C,Contents!$D$14,0)</f>
        <v>Консолидированный отчет о движении денежных средств</v>
      </c>
      <c r="G6" s="178"/>
      <c r="H6" s="178"/>
      <c r="I6" s="178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</row>
    <row r="7" spans="1:247" s="19" customFormat="1" ht="16.5" thickTop="1" thickBot="1" x14ac:dyDescent="0.25">
      <c r="A7" s="179"/>
      <c r="B7" s="177"/>
      <c r="C7" s="180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</row>
    <row r="8" spans="1:247" s="19" customFormat="1" ht="15.75" thickTop="1" x14ac:dyDescent="0.2">
      <c r="A8" s="3"/>
      <c r="B8" s="65"/>
      <c r="C8" s="65"/>
      <c r="H8"/>
      <c r="I8"/>
    </row>
    <row r="9" spans="1:247" ht="15.75" x14ac:dyDescent="0.25">
      <c r="A9" s="4" t="str">
        <f>VLOOKUP(35,dict!$A:$C,Contents!$D$14,0)</f>
        <v>в миллионах российских рублей</v>
      </c>
      <c r="B9" s="64"/>
      <c r="C9" s="64"/>
    </row>
    <row r="10" spans="1:247" ht="15.75" x14ac:dyDescent="0.25">
      <c r="A10" s="9"/>
      <c r="B10" s="9">
        <v>44197</v>
      </c>
      <c r="C10" s="9">
        <v>43831</v>
      </c>
      <c r="D10" s="2"/>
      <c r="E10" s="2"/>
      <c r="F10" s="2"/>
    </row>
    <row r="11" spans="1:247" ht="15.75" x14ac:dyDescent="0.25">
      <c r="A11" s="50" t="str">
        <f>VLOOKUP(37,dict!$A:$C,Contents!$D$14,0)</f>
        <v>Активы</v>
      </c>
      <c r="B11" s="50"/>
      <c r="C11" s="50"/>
      <c r="D11" s="2"/>
      <c r="E11" s="2"/>
      <c r="F11" s="2"/>
    </row>
    <row r="12" spans="1:247" ht="15.75" x14ac:dyDescent="0.25">
      <c r="A12" s="7" t="str">
        <f>VLOOKUP(38,dict!$A:$C,Contents!$D$14,0)</f>
        <v>Денежные средства и их эквиваленты</v>
      </c>
      <c r="B12" s="60">
        <v>8158</v>
      </c>
      <c r="C12" s="60">
        <v>34786</v>
      </c>
      <c r="D12" s="165"/>
      <c r="E12" s="164"/>
      <c r="F12" s="164"/>
      <c r="H12" s="168"/>
    </row>
    <row r="13" spans="1:247" ht="15.75" x14ac:dyDescent="0.25">
      <c r="A13" s="7" t="str">
        <f>VLOOKUP(39,dict!$A:$C,Contents!$D$14,0)</f>
        <v>Обязательные резервы на счетах в Банке России</v>
      </c>
      <c r="B13" s="60">
        <v>958</v>
      </c>
      <c r="C13" s="60">
        <v>1637</v>
      </c>
      <c r="D13" s="165"/>
      <c r="E13" s="164"/>
      <c r="F13" s="164"/>
      <c r="H13" s="168"/>
    </row>
    <row r="14" spans="1:247" ht="15.75" x14ac:dyDescent="0.25">
      <c r="A14" s="7" t="str">
        <f>VLOOKUP(41,dict!$A:$C,Contents!$D$14,0)</f>
        <v>Средства в других банках</v>
      </c>
      <c r="B14" s="60">
        <v>6366</v>
      </c>
      <c r="C14" s="60">
        <v>11181</v>
      </c>
      <c r="D14" s="165"/>
      <c r="E14" s="164"/>
      <c r="F14" s="164"/>
      <c r="H14" s="168"/>
    </row>
    <row r="15" spans="1:247" ht="15.75" x14ac:dyDescent="0.25">
      <c r="A15" s="7" t="str">
        <f>VLOOKUP(434,dict!$A:$C,Contents!$D$14,0)</f>
        <v>Инвестиции в ценные бумаги</v>
      </c>
      <c r="B15" s="60">
        <v>6182</v>
      </c>
      <c r="C15" s="60">
        <v>18897</v>
      </c>
      <c r="D15" s="165"/>
      <c r="E15" s="164"/>
      <c r="F15" s="164"/>
      <c r="H15" s="168"/>
    </row>
    <row r="16" spans="1:247" ht="15.75" x14ac:dyDescent="0.25">
      <c r="A16" s="7" t="str">
        <f>VLOOKUP(42,dict!$A:$C,Contents!$D$14,0)</f>
        <v>Кредиты и авансы клиентам</v>
      </c>
      <c r="B16" s="60">
        <v>96298</v>
      </c>
      <c r="C16" s="60">
        <v>165762</v>
      </c>
      <c r="D16" s="165"/>
      <c r="E16" s="164"/>
      <c r="F16" s="164"/>
      <c r="H16" s="168"/>
    </row>
    <row r="17" spans="1:8" ht="15.75" x14ac:dyDescent="0.25">
      <c r="A17" s="7" t="str">
        <f>VLOOKUP(46,dict!$A:$C,Contents!$D$14,0)</f>
        <v>Прочие финансовые активы</v>
      </c>
      <c r="B17" s="60">
        <v>364</v>
      </c>
      <c r="C17" s="60">
        <v>625</v>
      </c>
      <c r="D17" s="165"/>
      <c r="E17" s="164"/>
      <c r="F17" s="164"/>
      <c r="H17" s="168"/>
    </row>
    <row r="18" spans="1:8" ht="15.75" x14ac:dyDescent="0.25">
      <c r="A18" s="7" t="str">
        <f>VLOOKUP(388,dict!$A:$C,Contents!$D$14,0)</f>
        <v>Инвестиционное имущество</v>
      </c>
      <c r="B18" s="60">
        <v>3090</v>
      </c>
      <c r="C18" s="60">
        <v>4169</v>
      </c>
      <c r="D18" s="165"/>
      <c r="E18" s="164"/>
      <c r="F18" s="164"/>
      <c r="H18" s="168"/>
    </row>
    <row r="19" spans="1:8" ht="15.75" x14ac:dyDescent="0.25">
      <c r="A19" s="7" t="str">
        <f>VLOOKUP(47,dict!$A:$C,Contents!$D$14,0)</f>
        <v>Прочие активы</v>
      </c>
      <c r="B19" s="60">
        <v>1208</v>
      </c>
      <c r="C19" s="60">
        <v>1317</v>
      </c>
      <c r="D19" s="165"/>
      <c r="E19" s="164"/>
      <c r="F19" s="164"/>
      <c r="H19" s="168"/>
    </row>
    <row r="20" spans="1:8" ht="15.75" x14ac:dyDescent="0.25">
      <c r="A20" s="7" t="str">
        <f>VLOOKUP(45,dict!$A:$C,Contents!$D$14,0)</f>
        <v>Основные средства и нематериальные активы</v>
      </c>
      <c r="B20" s="60">
        <v>5109</v>
      </c>
      <c r="C20" s="60">
        <v>6574</v>
      </c>
      <c r="D20" s="165"/>
      <c r="E20" s="164"/>
      <c r="F20" s="164"/>
      <c r="H20" s="168"/>
    </row>
    <row r="21" spans="1:8" ht="15.75" x14ac:dyDescent="0.25">
      <c r="A21" s="7" t="str">
        <f>VLOOKUP(397,dict!$A:$C,Contents!$D$14,0)</f>
        <v>Отложенные налоговые активы</v>
      </c>
      <c r="B21" s="60">
        <v>3291</v>
      </c>
      <c r="C21" s="60">
        <v>2427</v>
      </c>
      <c r="D21" s="165"/>
      <c r="E21" s="164"/>
      <c r="F21" s="164"/>
      <c r="H21" s="168"/>
    </row>
    <row r="22" spans="1:8" ht="16.5" thickBot="1" x14ac:dyDescent="0.3">
      <c r="A22" s="51" t="str">
        <f>VLOOKUP(48,dict!$A:$C,Contents!$D$14,0)</f>
        <v>ИТОГО АКТИВЫ</v>
      </c>
      <c r="B22" s="11">
        <f>SUM(B12:B21)</f>
        <v>131024</v>
      </c>
      <c r="C22" s="11">
        <f>SUM(C12:C21)</f>
        <v>247375</v>
      </c>
      <c r="D22" s="2"/>
      <c r="E22" s="2"/>
      <c r="F22" s="2"/>
      <c r="H22" s="168"/>
    </row>
    <row r="23" spans="1:8" ht="16.5" thickTop="1" x14ac:dyDescent="0.25">
      <c r="A23" s="52"/>
      <c r="B23" s="67"/>
      <c r="C23" s="67"/>
      <c r="D23" s="2"/>
      <c r="E23" s="2"/>
      <c r="F23" s="2"/>
      <c r="H23" s="168"/>
    </row>
    <row r="24" spans="1:8" ht="16.5" thickBot="1" x14ac:dyDescent="0.3">
      <c r="A24" s="4" t="str">
        <f>VLOOKUP(35,dict!$A:$C,Contents!$D$14,0)</f>
        <v>в миллионах российских рублей</v>
      </c>
      <c r="B24" s="68"/>
      <c r="C24" s="68"/>
      <c r="D24" s="2"/>
      <c r="E24" s="2"/>
      <c r="F24" s="2"/>
      <c r="H24" s="168"/>
    </row>
    <row r="25" spans="1:8" ht="16.5" thickTop="1" x14ac:dyDescent="0.25">
      <c r="A25" s="53" t="str">
        <f>VLOOKUP(49,dict!$A:$C,Contents!$D$14,0)</f>
        <v>Обязательства</v>
      </c>
      <c r="B25" s="53"/>
      <c r="C25" s="53"/>
      <c r="D25" s="2"/>
      <c r="E25" s="2"/>
      <c r="F25" s="2"/>
      <c r="H25" s="168"/>
    </row>
    <row r="26" spans="1:8" ht="15.75" x14ac:dyDescent="0.25">
      <c r="A26" s="12" t="str">
        <f>VLOOKUP(50,dict!$A:$C,Contents!$D$14,0)</f>
        <v>Средства других банков</v>
      </c>
      <c r="B26" s="60">
        <v>20118</v>
      </c>
      <c r="C26" s="60">
        <v>1521</v>
      </c>
      <c r="D26" s="2"/>
      <c r="E26" s="2"/>
      <c r="F26" s="2"/>
      <c r="H26" s="168"/>
    </row>
    <row r="27" spans="1:8" ht="15.75" x14ac:dyDescent="0.25">
      <c r="A27" s="12" t="str">
        <f>VLOOKUP(51,dict!$A:$C,Contents!$D$14,0)</f>
        <v>Средства клиентов</v>
      </c>
      <c r="B27" s="60">
        <v>84477</v>
      </c>
      <c r="C27" s="60">
        <v>214081</v>
      </c>
      <c r="D27" s="2"/>
      <c r="E27" s="2"/>
      <c r="F27" s="2"/>
      <c r="H27" s="168"/>
    </row>
    <row r="28" spans="1:8" ht="15.75" x14ac:dyDescent="0.25">
      <c r="A28" s="12" t="str">
        <f>VLOOKUP(52,dict!$A:$C,Contents!$D$14,0)</f>
        <v>Выпущенные долговые ценные бумаги</v>
      </c>
      <c r="B28" s="60">
        <v>776</v>
      </c>
      <c r="C28" s="60">
        <v>2932</v>
      </c>
      <c r="D28" s="2"/>
      <c r="E28" s="2"/>
      <c r="F28" s="2"/>
      <c r="H28" s="168"/>
    </row>
    <row r="29" spans="1:8" ht="30.75" customHeight="1" x14ac:dyDescent="0.25">
      <c r="A29" s="12" t="str">
        <f>VLOOKUP(441,dict!$A:$C,Contents!$D$14,0)</f>
        <v>Оценочный резерв под кредитные убытки по обязательствам кредитного характера</v>
      </c>
      <c r="B29" s="60">
        <v>36</v>
      </c>
      <c r="C29" s="134">
        <v>237</v>
      </c>
      <c r="D29" s="2"/>
      <c r="E29" s="2"/>
      <c r="F29" s="2"/>
      <c r="H29" s="168"/>
    </row>
    <row r="30" spans="1:8" ht="15.75" x14ac:dyDescent="0.25">
      <c r="A30" s="12" t="str">
        <f>VLOOKUP(430,dict!$A:$C,Contents!$D$14,0)</f>
        <v>Резерв под обязательства некредитного характера</v>
      </c>
      <c r="B30" s="60">
        <v>43</v>
      </c>
      <c r="C30" s="134">
        <v>393</v>
      </c>
      <c r="D30" s="2"/>
      <c r="E30" s="2"/>
      <c r="F30" s="2"/>
      <c r="H30" s="168"/>
    </row>
    <row r="31" spans="1:8" ht="15.75" x14ac:dyDescent="0.25">
      <c r="A31" s="140" t="str">
        <f>VLOOKUP(55.1,dict!$A:$C,Contents!$D$14,0)</f>
        <v>Лизинговые обязательства</v>
      </c>
      <c r="B31" s="60">
        <v>715</v>
      </c>
      <c r="C31" s="134">
        <v>1807</v>
      </c>
      <c r="D31" s="2"/>
      <c r="E31" s="2"/>
      <c r="F31" s="2"/>
      <c r="H31" s="168"/>
    </row>
    <row r="32" spans="1:8" ht="15.75" x14ac:dyDescent="0.25">
      <c r="A32" s="12" t="str">
        <f>VLOOKUP(55,dict!$A:$C,Contents!$D$14,0)</f>
        <v>Прочие финансовые обязательства</v>
      </c>
      <c r="B32" s="60">
        <v>250</v>
      </c>
      <c r="C32" s="60">
        <v>844</v>
      </c>
      <c r="D32" s="2"/>
      <c r="E32" s="2"/>
      <c r="F32" s="2"/>
      <c r="H32" s="168"/>
    </row>
    <row r="33" spans="1:9" ht="15.75" x14ac:dyDescent="0.25">
      <c r="A33" s="12" t="str">
        <f>VLOOKUP(56,dict!$A:$C,Contents!$D$14,0)</f>
        <v>Прочие обязательства</v>
      </c>
      <c r="B33" s="60">
        <v>1374</v>
      </c>
      <c r="C33" s="60">
        <v>1851</v>
      </c>
      <c r="D33" s="2"/>
      <c r="E33" s="2"/>
      <c r="F33" s="2"/>
      <c r="H33" s="168"/>
    </row>
    <row r="34" spans="1:9" ht="15.75" x14ac:dyDescent="0.25">
      <c r="A34" s="12" t="str">
        <f>VLOOKUP(53,dict!$A:$C,Contents!$D$14,0)</f>
        <v>Субординированные кредиты и депозиты</v>
      </c>
      <c r="B34" s="60">
        <v>3600</v>
      </c>
      <c r="C34" s="60">
        <v>3000</v>
      </c>
      <c r="D34" s="2"/>
      <c r="E34" s="2"/>
      <c r="F34" s="2"/>
      <c r="H34" s="168"/>
    </row>
    <row r="35" spans="1:9" ht="16.5" thickBot="1" x14ac:dyDescent="0.3">
      <c r="A35" s="51" t="str">
        <f>VLOOKUP(57,dict!$A:$C,Contents!$D$14,0)</f>
        <v>ИТОГО ОБЯЗАТЕЛЬСТВА</v>
      </c>
      <c r="B35" s="11">
        <f>SUM(B26:B34)</f>
        <v>111389</v>
      </c>
      <c r="C35" s="11">
        <f>SUM(C26:C34)</f>
        <v>226666</v>
      </c>
      <c r="D35" s="2"/>
      <c r="E35" s="2"/>
      <c r="F35" s="2"/>
      <c r="H35" s="168"/>
    </row>
    <row r="36" spans="1:9" ht="16.5" thickTop="1" x14ac:dyDescent="0.25">
      <c r="A36" s="52"/>
      <c r="B36" s="66"/>
      <c r="C36" s="52"/>
      <c r="D36" s="2"/>
      <c r="E36" s="2"/>
      <c r="F36" s="2"/>
      <c r="H36" s="168"/>
    </row>
    <row r="37" spans="1:9" ht="16.5" thickBot="1" x14ac:dyDescent="0.3">
      <c r="A37" s="4" t="str">
        <f>VLOOKUP(35,dict!$A:$C,Contents!$D$14,0)</f>
        <v>в миллионах российских рублей</v>
      </c>
      <c r="B37" s="4"/>
      <c r="C37" s="4"/>
      <c r="D37" s="2"/>
      <c r="E37" s="2"/>
      <c r="F37" s="2"/>
      <c r="H37" s="168"/>
    </row>
    <row r="38" spans="1:9" ht="16.5" thickTop="1" x14ac:dyDescent="0.25">
      <c r="A38" s="53" t="str">
        <f>VLOOKUP(5,dict!$A:$C,Contents!$D$14,0)</f>
        <v>Капитал</v>
      </c>
      <c r="B38" s="53"/>
      <c r="C38" s="53"/>
      <c r="D38" s="2"/>
      <c r="E38" s="2"/>
      <c r="F38" s="2"/>
      <c r="H38" s="168"/>
    </row>
    <row r="39" spans="1:9" ht="15.75" x14ac:dyDescent="0.25">
      <c r="A39" s="12" t="str">
        <f>VLOOKUP(59,dict!$A:$C,Contents!$D$14,0)</f>
        <v>Акционерный капитал</v>
      </c>
      <c r="B39" s="60">
        <v>250</v>
      </c>
      <c r="C39" s="60">
        <v>250</v>
      </c>
      <c r="D39" s="164"/>
      <c r="E39" s="164"/>
      <c r="F39" s="2"/>
      <c r="H39" s="168"/>
    </row>
    <row r="40" spans="1:9" ht="15.75" x14ac:dyDescent="0.25">
      <c r="A40" s="12" t="str">
        <f>VLOOKUP(60,dict!$A:$C,Contents!$D$14,0)</f>
        <v>Эмиссионный доход</v>
      </c>
      <c r="B40" s="60">
        <v>7306</v>
      </c>
      <c r="C40" s="60">
        <v>7306</v>
      </c>
      <c r="D40" s="164"/>
      <c r="E40" s="164"/>
      <c r="F40" s="2"/>
      <c r="H40" s="168"/>
    </row>
    <row r="41" spans="1:9" ht="28.5" customHeight="1" x14ac:dyDescent="0.25">
      <c r="A41" s="12" t="str">
        <f>VLOOKUP(436,dict!$A:$C,Contents!$D$14,0)</f>
        <v>Фонд переоценки ценных бумаг, оцениваемых по справедливой стоимости через прочий совокупный доход</v>
      </c>
      <c r="B41" s="60">
        <v>-3</v>
      </c>
      <c r="C41" s="134">
        <v>6</v>
      </c>
      <c r="D41" s="164"/>
      <c r="E41" s="164"/>
      <c r="F41" s="2"/>
      <c r="H41" s="168"/>
    </row>
    <row r="42" spans="1:9" ht="15.75" x14ac:dyDescent="0.25">
      <c r="A42" s="12" t="str">
        <f>VLOOKUP(62.1,dict!$A:$C,Contents!$D$14,0)</f>
        <v>Фонд переоценки основных средств</v>
      </c>
      <c r="B42" s="60">
        <v>2049</v>
      </c>
      <c r="C42" s="60">
        <v>2103</v>
      </c>
      <c r="D42" s="164"/>
      <c r="E42" s="164"/>
      <c r="F42" s="2"/>
      <c r="H42" s="168"/>
    </row>
    <row r="43" spans="1:9" ht="15.75" x14ac:dyDescent="0.25">
      <c r="A43" s="12" t="str">
        <f>VLOOKUP(61,dict!$A:$C,Contents!$D$14,0)</f>
        <v>Нераспределенная прибыль</v>
      </c>
      <c r="B43" s="60">
        <v>8033</v>
      </c>
      <c r="C43" s="60">
        <v>11044</v>
      </c>
      <c r="D43" s="164"/>
      <c r="E43" s="164"/>
      <c r="F43" s="2"/>
      <c r="H43" s="168"/>
    </row>
    <row r="44" spans="1:9" ht="15.75" x14ac:dyDescent="0.25">
      <c r="A44" s="12" t="str">
        <f>VLOOKUP(449,dict!$A:$C,Contents!$D$14,0)</f>
        <v>Бессрочный субординированный кредит</v>
      </c>
      <c r="B44" s="60">
        <v>2000</v>
      </c>
      <c r="C44" s="60">
        <v>0</v>
      </c>
      <c r="D44" s="164"/>
      <c r="E44" s="164"/>
      <c r="F44" s="2"/>
      <c r="H44" s="168"/>
    </row>
    <row r="45" spans="1:9" ht="15.75" x14ac:dyDescent="0.25">
      <c r="A45" s="80" t="str">
        <f>VLOOKUP(63,dict!$A:$C,Contents!$D$14,0)</f>
        <v>ИТОГО КАПИТАЛ</v>
      </c>
      <c r="B45" s="81">
        <f>SUM(B39:B44)</f>
        <v>19635</v>
      </c>
      <c r="C45" s="81">
        <f>SUM(C39:C44)</f>
        <v>20709</v>
      </c>
      <c r="D45" s="2"/>
      <c r="E45" s="2"/>
      <c r="F45" s="2"/>
      <c r="H45" s="168"/>
    </row>
    <row r="46" spans="1:9" ht="16.5" thickBot="1" x14ac:dyDescent="0.3">
      <c r="A46" s="51" t="str">
        <f>VLOOKUP(64,dict!$A:$C,Contents!$D$14,0)</f>
        <v>ИТОГО ОБЯЗАТЕЛЬСТВА И КАПИТАЛ</v>
      </c>
      <c r="B46" s="11">
        <f>B35+B45</f>
        <v>131024</v>
      </c>
      <c r="C46" s="11">
        <f>C35+C45</f>
        <v>247375</v>
      </c>
      <c r="D46" s="2"/>
      <c r="E46" s="2"/>
      <c r="F46" s="2"/>
      <c r="H46" s="168"/>
    </row>
    <row r="47" spans="1:9" s="49" customFormat="1" ht="16.5" thickTop="1" x14ac:dyDescent="0.25">
      <c r="A47" s="62"/>
      <c r="B47" s="63"/>
      <c r="C47" s="63"/>
      <c r="D47" s="2"/>
      <c r="E47" s="2"/>
      <c r="H47"/>
      <c r="I47"/>
    </row>
    <row r="48" spans="1:9" ht="15.75" x14ac:dyDescent="0.25">
      <c r="A48" s="4"/>
      <c r="B48" s="139"/>
      <c r="C48" s="139"/>
      <c r="D48" s="2"/>
      <c r="E48" s="2"/>
    </row>
  </sheetData>
  <customSheetViews>
    <customSheetView guid="{EF7F1FF5-A363-4212-950F-F377D0676E4F}" showGridLines="0" showRuler="0">
      <pane xSplit="1" ySplit="12" topLeftCell="B13" activePane="bottomRight" state="frozen"/>
      <selection pane="bottomRight" activeCell="A6" sqref="A6:A7"/>
      <pageMargins left="0.27" right="0.75" top="1" bottom="1" header="0.5" footer="0.5"/>
      <pageSetup paperSize="9" orientation="portrait" r:id="rId1"/>
      <headerFooter alignWithMargins="0"/>
    </customSheetView>
    <customSheetView guid="{BA259822-0E07-4052-A562-F895651CF688}" showPageBreaks="1" showGridLines="0" showRuler="0">
      <pane xSplit="1" ySplit="11" topLeftCell="B12" activePane="bottomRight" state="frozen"/>
      <selection pane="bottomRight" activeCell="A15" sqref="A15"/>
      <pageMargins left="0.27" right="0.75" top="1" bottom="1" header="0.5" footer="0.5"/>
      <pageSetup paperSize="9" orientation="portrait" r:id="rId2"/>
      <headerFooter alignWithMargins="0"/>
    </customSheetView>
    <customSheetView guid="{EC5F2008-392D-40E4-B096-5FE6B8C97B31}" showGridLines="0" showRuler="0">
      <pane xSplit="1" ySplit="11" topLeftCell="B37" activePane="bottomRight" state="frozen"/>
      <selection pane="bottomRight" activeCell="B44" sqref="B44"/>
      <pageMargins left="0.27" right="0.75" top="1" bottom="1" header="0.5" footer="0.5"/>
      <pageSetup paperSize="9" orientation="portrait" r:id="rId3"/>
      <headerFooter alignWithMargins="0"/>
    </customSheetView>
    <customSheetView guid="{16DABAA0-1513-42C6-9007-B1BF840F9470}" showGridLines="0" showRuler="0">
      <pane xSplit="1" ySplit="11" topLeftCell="B12" activePane="bottomRight" state="frozen"/>
      <selection pane="bottomRight" activeCell="A19" sqref="A19"/>
      <pageMargins left="0.27" right="0.75" top="1" bottom="1" header="0.5" footer="0.5"/>
      <pageSetup paperSize="9" orientation="portrait" r:id="rId4"/>
      <headerFooter alignWithMargins="0"/>
    </customSheetView>
    <customSheetView guid="{371123B4-BB2D-4334-AFFE-1C19B7394DB8}" showGridLines="0" showRuler="0">
      <pane xSplit="1" ySplit="11" topLeftCell="B18" activePane="bottomRight" state="frozen"/>
      <selection pane="bottomRight" activeCell="A31" sqref="A31"/>
      <pageMargins left="0.27" right="0.75" top="1" bottom="1" header="0.5" footer="0.5"/>
      <pageSetup paperSize="9" orientation="portrait" r:id="rId5"/>
      <headerFooter alignWithMargins="0"/>
    </customSheetView>
    <customSheetView guid="{E2FF84D5-4AA5-487D-9BD4-62B26247C042}" showPageBreaks="1" showRuler="0">
      <selection activeCell="A53" sqref="A53"/>
      <pageMargins left="0.27" right="0.75" top="1" bottom="1" header="0.5" footer="0.5"/>
      <pageSetup paperSize="9" orientation="portrait" r:id="rId6"/>
      <headerFooter alignWithMargins="0"/>
    </customSheetView>
    <customSheetView guid="{91AD1FE3-D144-4231-BFD3-69CCAD3A157C}" showRuler="0">
      <selection activeCell="B50" sqref="B50"/>
      <pageMargins left="0.27" right="0.75" top="1" bottom="1" header="0.5" footer="0.5"/>
      <pageSetup paperSize="9" orientation="portrait" r:id="rId7"/>
      <headerFooter alignWithMargins="0"/>
    </customSheetView>
    <customSheetView guid="{78A2E613-9A38-4028-90E9-40A4D5FC75E6}" showRuler="0">
      <selection activeCell="B12" sqref="B12:K12"/>
      <pageMargins left="0.27" right="0.75" top="1" bottom="1" header="0.5" footer="0.5"/>
      <pageSetup paperSize="9" orientation="portrait" r:id="rId8"/>
      <headerFooter alignWithMargins="0"/>
    </customSheetView>
    <customSheetView guid="{F7754C05-3DA4-4D41-8D23-8E948B6B42DF}" scale="80" showGridLines="0" showRuler="0">
      <pane ySplit="7" topLeftCell="A23" activePane="bottomLeft" state="frozen"/>
      <selection pane="bottomLeft" activeCell="A41" sqref="A41"/>
      <pageMargins left="0.27" right="0.75" top="1" bottom="1" header="0.5" footer="0.5"/>
      <pageSetup paperSize="9" orientation="portrait" r:id="rId9"/>
      <headerFooter alignWithMargins="0"/>
    </customSheetView>
  </customSheetViews>
  <mergeCells count="29">
    <mergeCell ref="E6:E7"/>
    <mergeCell ref="D6:D7"/>
    <mergeCell ref="A6:A7"/>
    <mergeCell ref="B6:B7"/>
    <mergeCell ref="C6:C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Z6:Z7"/>
    <mergeCell ref="AA6:AA7"/>
    <mergeCell ref="AB6:AB7"/>
    <mergeCell ref="AC6:AC7"/>
    <mergeCell ref="U6:U7"/>
    <mergeCell ref="V6:V7"/>
    <mergeCell ref="W6:W7"/>
    <mergeCell ref="X6:X7"/>
    <mergeCell ref="Y6:Y7"/>
  </mergeCells>
  <phoneticPr fontId="7" type="noConversion"/>
  <hyperlinks>
    <hyperlink ref="C6" location="'Statement of financial position'!A1" display="'Statement of financial position'!A1"/>
    <hyperlink ref="C6" location="'Statement of fin position'!A1" display="'Statement of fin position'!A1"/>
    <hyperlink ref="D6:D7" location="'Statement of compreh income'!A1" display="'Statement of compreh income'!A1"/>
    <hyperlink ref="D6" location="'Statement of compreh income'!A1" display="'Statement of compreh income'!A1"/>
  </hyperlinks>
  <pageMargins left="0.27" right="0.75" top="1" bottom="1" header="0.5" footer="0.5"/>
  <pageSetup paperSize="9" orientation="portrait" r:id="rId10"/>
  <headerFooter alignWithMargins="0"/>
  <drawing r:id="rId11"/>
  <legacyDrawing r:id="rId1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24" r:id="rId13" name="Drop Down 584">
              <controlPr defaultSize="0" autoLine="0" autoPict="0">
                <anchor moveWithCells="1">
                  <from>
                    <xdr:col>3</xdr:col>
                    <xdr:colOff>0</xdr:colOff>
                    <xdr:row>2</xdr:row>
                    <xdr:rowOff>0</xdr:rowOff>
                  </from>
                  <to>
                    <xdr:col>3</xdr:col>
                    <xdr:colOff>1009650</xdr:colOff>
                    <xdr:row>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tabColor theme="3" tint="0.59999389629810485"/>
    <outlinePr summaryRight="0"/>
  </sheetPr>
  <dimension ref="A1:G50"/>
  <sheetViews>
    <sheetView showRuler="0" zoomScaleNormal="100" workbookViewId="0">
      <selection activeCell="A22" sqref="A22"/>
    </sheetView>
  </sheetViews>
  <sheetFormatPr defaultColWidth="8.88671875" defaultRowHeight="15" x14ac:dyDescent="0.2"/>
  <cols>
    <col min="1" max="1" width="43.109375" style="19" customWidth="1"/>
    <col min="2" max="2" width="7.6640625" style="19" customWidth="1"/>
    <col min="3" max="3" width="12.88671875" style="19" customWidth="1"/>
    <col min="4" max="4" width="8.33203125" style="19" customWidth="1"/>
    <col min="5" max="5" width="9.109375" style="19" customWidth="1"/>
    <col min="6" max="8" width="8.88671875" style="19" customWidth="1"/>
    <col min="9" max="16384" width="8.88671875" style="19"/>
  </cols>
  <sheetData>
    <row r="1" spans="1:7" s="5" customFormat="1" ht="12.75" x14ac:dyDescent="0.2">
      <c r="F1" s="169"/>
      <c r="G1" s="169"/>
    </row>
    <row r="2" spans="1:7" s="5" customFormat="1" ht="12.75" x14ac:dyDescent="0.2">
      <c r="F2" s="169"/>
      <c r="G2" s="169"/>
    </row>
    <row r="3" spans="1:7" s="5" customFormat="1" ht="12.75" x14ac:dyDescent="0.2">
      <c r="B3" s="43" t="str">
        <f>VLOOKUP(329,dict!$A:$C,Contents!$D$14,0)</f>
        <v>Выбор языка</v>
      </c>
      <c r="F3" s="169"/>
      <c r="G3" s="169"/>
    </row>
    <row r="4" spans="1:7" s="5" customFormat="1" ht="12.75" x14ac:dyDescent="0.2">
      <c r="F4" s="169"/>
      <c r="G4" s="169"/>
    </row>
    <row r="5" spans="1:7" s="5" customFormat="1" ht="12.75" x14ac:dyDescent="0.2">
      <c r="F5" s="169"/>
      <c r="G5" s="169"/>
    </row>
    <row r="6" spans="1:7" s="5" customFormat="1" ht="13.5" customHeight="1" thickBot="1" x14ac:dyDescent="0.25">
      <c r="A6" s="185" t="str">
        <f>VLOOKUP(6,dict!$A:$C,Contents!$D$14,0)</f>
        <v>Консолидированный отчет о прибыли или убытке и прочем совокупном доходе</v>
      </c>
      <c r="B6" s="181" t="str">
        <f>VLOOKUP(33,dict!$A:$C,Contents!$D$14,0)</f>
        <v>Содержание</v>
      </c>
      <c r="C6" s="177" t="str">
        <f>VLOOKUP(2,dict!$A:$C,Contents!$D$14,0)</f>
        <v>Консолидированный отчет о финансовом положении</v>
      </c>
      <c r="D6" s="187" t="str">
        <f>VLOOKUP(6,dict!$A:$C,Contents!$D$14,0)</f>
        <v>Консолидированный отчет о прибыли или убытке и прочем совокупном доходе</v>
      </c>
      <c r="E6" s="178" t="str">
        <f>VLOOKUP(8,dict!$A:$C,Contents!$D$14,0)</f>
        <v>Консолидированный отчет об изменениях в собственном капитале</v>
      </c>
      <c r="F6" s="177" t="s">
        <v>968</v>
      </c>
      <c r="G6" s="169"/>
    </row>
    <row r="7" spans="1:7" s="48" customFormat="1" ht="21" thickTop="1" thickBot="1" x14ac:dyDescent="0.35">
      <c r="A7" s="186"/>
      <c r="B7" s="182"/>
      <c r="C7" s="177"/>
      <c r="D7" s="180"/>
      <c r="E7" s="177"/>
      <c r="F7" s="177"/>
    </row>
    <row r="8" spans="1:7" ht="15.75" thickTop="1" x14ac:dyDescent="0.2">
      <c r="C8" s="183"/>
    </row>
    <row r="9" spans="1:7" s="59" customFormat="1" x14ac:dyDescent="0.25">
      <c r="A9" s="14" t="str">
        <f>VLOOKUP(35,dict!$A:$C,Contents!$D$14,0)</f>
        <v>в миллионах российских рублей</v>
      </c>
      <c r="B9" s="20"/>
      <c r="C9" s="184"/>
    </row>
    <row r="10" spans="1:7" ht="30" x14ac:dyDescent="0.25">
      <c r="A10" s="89" t="str">
        <f>VLOOKUP(6,dict!$A:$C,Contents!$D$14,0)</f>
        <v>Консолидированный отчет о прибыли или убытке и прочем совокупном доходе</v>
      </c>
      <c r="B10" s="91">
        <v>2020</v>
      </c>
      <c r="C10" s="91">
        <v>2019</v>
      </c>
    </row>
    <row r="11" spans="1:7" ht="30" x14ac:dyDescent="0.25">
      <c r="A11" s="7" t="str">
        <f>VLOOKUP(439,dict!$A:$C,Contents!$D$14,0)</f>
        <v>Процентные доходы, рассчитанные по методу эффективной процентной ставки</v>
      </c>
      <c r="B11" s="83">
        <v>16932</v>
      </c>
      <c r="C11" s="83">
        <v>21527</v>
      </c>
    </row>
    <row r="12" spans="1:7" ht="15.75" x14ac:dyDescent="0.25">
      <c r="A12" s="7" t="str">
        <f>VLOOKUP(175,dict!$A:$C,Contents!$D$14,0)</f>
        <v>Процентные расходы</v>
      </c>
      <c r="B12" s="16">
        <v>-8027</v>
      </c>
      <c r="C12" s="16">
        <v>-11278</v>
      </c>
    </row>
    <row r="13" spans="1:7" ht="15.75" x14ac:dyDescent="0.25">
      <c r="A13" s="77" t="str">
        <f>VLOOKUP(427,dict!$A:$C,Contents!$D$14,0)</f>
        <v>Взносы в Агентство по страхованию вкладов</v>
      </c>
      <c r="B13" s="82">
        <v>-638</v>
      </c>
      <c r="C13" s="82">
        <v>-1039</v>
      </c>
    </row>
    <row r="14" spans="1:7" ht="15.75" x14ac:dyDescent="0.25">
      <c r="A14" s="8" t="str">
        <f>VLOOKUP(176,dict!$A:$C,Contents!$D$14,0)</f>
        <v>Чистые процентные доходы</v>
      </c>
      <c r="B14" s="69">
        <f>SUM(B11:B13)</f>
        <v>8267</v>
      </c>
      <c r="C14" s="69">
        <f>SUM(C11:C13)</f>
        <v>9210</v>
      </c>
    </row>
    <row r="15" spans="1:7" ht="30" x14ac:dyDescent="0.25">
      <c r="A15" s="77" t="str">
        <f>VLOOKUP(447,dict!$A:$C,Contents!$D$14,0)</f>
        <v>Оценочный резерв под кредитные убытки по долговым финансовым активам</v>
      </c>
      <c r="B15" s="82">
        <v>-4619</v>
      </c>
      <c r="C15" s="82">
        <v>2170</v>
      </c>
    </row>
    <row r="16" spans="1:7" ht="30" x14ac:dyDescent="0.25">
      <c r="A16" s="8" t="str">
        <f>VLOOKUP(178,dict!$A:$C,Contents!$D$14,0)</f>
        <v>Чистые процентные доходы после создания оценочного резерва под кредитные убытки</v>
      </c>
      <c r="B16" s="150">
        <f>SUM(B14:B15)</f>
        <v>3648</v>
      </c>
      <c r="C16" s="69">
        <f>SUM(C14:C15)</f>
        <v>11380</v>
      </c>
    </row>
    <row r="17" spans="1:3" ht="15.75" x14ac:dyDescent="0.25">
      <c r="A17" s="7" t="str">
        <f>VLOOKUP(179,dict!$A:$C,Contents!$D$14,0)</f>
        <v>Комиссионные доходы</v>
      </c>
      <c r="B17" s="16">
        <v>3423</v>
      </c>
      <c r="C17" s="16">
        <v>5135</v>
      </c>
    </row>
    <row r="18" spans="1:3" ht="15.75" x14ac:dyDescent="0.25">
      <c r="A18" s="7" t="str">
        <f>VLOOKUP(180,dict!$A:$C,Contents!$D$14,0)</f>
        <v>Комиссионные расходы</v>
      </c>
      <c r="B18" s="16">
        <v>-1050</v>
      </c>
      <c r="C18" s="16">
        <v>-1059</v>
      </c>
    </row>
    <row r="19" spans="1:3" ht="30" x14ac:dyDescent="0.25">
      <c r="A19" s="73" t="str">
        <f>VLOOKUP(401.2,dict!$A:$C,Contents!$D$14,0)</f>
        <v>Расходы за вычетом доходов от операций с финансовыми производными инструментами</v>
      </c>
      <c r="B19" s="16">
        <v>0</v>
      </c>
      <c r="C19" s="16">
        <v>-109</v>
      </c>
    </row>
    <row r="20" spans="1:3" ht="27.75" customHeight="1" x14ac:dyDescent="0.25">
      <c r="A20" s="73" t="str">
        <f>VLOOKUP(400.1,dict!$A:$C,Contents!$D$14,0)</f>
        <v>Доходы за вычетом расходов по операциям с иностранной валютой</v>
      </c>
      <c r="B20" s="16">
        <v>314</v>
      </c>
      <c r="C20" s="16">
        <v>483</v>
      </c>
    </row>
    <row r="21" spans="1:3" ht="30" x14ac:dyDescent="0.25">
      <c r="A21" s="73" t="str">
        <f>VLOOKUP(402.1,dict!$A:$C,Contents!$D$14,0)</f>
        <v>(Расходы за вычетом доходов)/доходы за вычетом расходов от переоценки иностранной валюты</v>
      </c>
      <c r="B21" s="16">
        <v>-244</v>
      </c>
      <c r="C21" s="16">
        <v>140</v>
      </c>
    </row>
    <row r="22" spans="1:3" ht="45.75" customHeight="1" x14ac:dyDescent="0.25">
      <c r="A22" s="73" t="str">
        <f>VLOOKUP(404,dict!$A:$C,Contents!$D$14,0)</f>
        <v>Доходы за вычетом расходов от инвестиций в ценные бумаги, оцениваемых по справедливой стоимости через прибыли и убытки</v>
      </c>
      <c r="B22" s="16">
        <v>8</v>
      </c>
      <c r="C22" s="16">
        <v>34</v>
      </c>
    </row>
    <row r="23" spans="1:3" ht="45" x14ac:dyDescent="0.25">
      <c r="A23" s="73" t="str">
        <f>VLOOKUP(404.1,dict!$A:$C,Contents!$D$14,0)</f>
        <v>Расходы за вычетом доходов от реализации инвестиций в ценные бумаги, оцениваемых по справедливой стоимости через прочий совокупный доход</v>
      </c>
      <c r="B23" s="16">
        <v>-10</v>
      </c>
      <c r="C23" s="16">
        <v>-74</v>
      </c>
    </row>
    <row r="24" spans="1:3" ht="15.75" x14ac:dyDescent="0.25">
      <c r="A24" s="7" t="str">
        <f>VLOOKUP(181.2,dict!$A:$C,Contents!$D$14,0)</f>
        <v>Прочие операционные расходы</v>
      </c>
      <c r="B24" s="16">
        <v>-574</v>
      </c>
      <c r="C24" s="16">
        <v>-245</v>
      </c>
    </row>
    <row r="25" spans="1:3" ht="15.75" x14ac:dyDescent="0.25">
      <c r="A25" s="7" t="str">
        <f>VLOOKUP(428,dict!$A:$C,Contents!$D$14,0)</f>
        <v xml:space="preserve">Административные и общехозяйственные расходы </v>
      </c>
      <c r="B25" s="16">
        <v>-8952</v>
      </c>
      <c r="C25" s="16">
        <v>-9118</v>
      </c>
    </row>
    <row r="26" spans="1:3" ht="30" x14ac:dyDescent="0.25">
      <c r="A26" s="7" t="str">
        <f>VLOOKUP(441,dict!$A:$C,Contents!$D$14,0)</f>
        <v>Оценочный резерв под кредитные убытки по обязательствам кредитного характера</v>
      </c>
      <c r="B26" s="16">
        <v>201</v>
      </c>
      <c r="C26" s="16">
        <v>25</v>
      </c>
    </row>
    <row r="27" spans="1:3" ht="15.75" x14ac:dyDescent="0.25">
      <c r="A27" s="7" t="str">
        <f>VLOOKUP(430,dict!$A:$C,Contents!$D$14,0)</f>
        <v>Резерв под обязательства некредитного характера</v>
      </c>
      <c r="B27" s="16">
        <v>156</v>
      </c>
      <c r="C27" s="16">
        <v>1055</v>
      </c>
    </row>
    <row r="28" spans="1:3" ht="29.25" customHeight="1" x14ac:dyDescent="0.25">
      <c r="A28" s="7" t="str">
        <f>VLOOKUP(446,dict!$A:$C,Contents!$D$14,0)</f>
        <v>Убыток от первоначального признания кредитов</v>
      </c>
      <c r="B28" s="16">
        <v>0</v>
      </c>
      <c r="C28" s="16">
        <v>-1502</v>
      </c>
    </row>
    <row r="29" spans="1:3" ht="30" x14ac:dyDescent="0.25">
      <c r="A29" s="7" t="str">
        <f>VLOOKUP(448,dict!$A:$C,Contents!$D$14,0)</f>
        <v>Чистый убыток от переоценки инвестиционного имущества, прочих активов и основных средств</v>
      </c>
      <c r="B29" s="16">
        <v>-693</v>
      </c>
      <c r="C29" s="16">
        <v>-231</v>
      </c>
    </row>
    <row r="30" spans="1:3" ht="15.75" x14ac:dyDescent="0.25">
      <c r="A30" s="7" t="str">
        <f>VLOOKUP(303,dict!$A:$C,Contents!$D$14,0)</f>
        <v>Дивиденды полученные</v>
      </c>
      <c r="B30" s="16">
        <v>9</v>
      </c>
      <c r="C30" s="16">
        <v>106</v>
      </c>
    </row>
    <row r="31" spans="1:3" ht="15.75" x14ac:dyDescent="0.25">
      <c r="A31" s="141" t="str">
        <f>VLOOKUP(185.2,dict!$A:$C,Contents!$D$14,0)</f>
        <v>(Убыток)/прибыль до налогообложения</v>
      </c>
      <c r="B31" s="84">
        <f>SUM(B16:B30)</f>
        <v>-3764</v>
      </c>
      <c r="C31" s="84">
        <f t="shared" ref="C31" si="0">SUM(C16:C30)</f>
        <v>6020</v>
      </c>
    </row>
    <row r="32" spans="1:3" ht="15.75" x14ac:dyDescent="0.25">
      <c r="A32" s="77" t="str">
        <f>VLOOKUP(186,dict!$A:$C,Contents!$D$14,0)</f>
        <v>Налог на прибыль</v>
      </c>
      <c r="B32" s="82">
        <v>762</v>
      </c>
      <c r="C32" s="82">
        <v>-956</v>
      </c>
    </row>
    <row r="33" spans="1:3" ht="15.75" x14ac:dyDescent="0.25">
      <c r="A33" s="78" t="str">
        <f>VLOOKUP(187,dict!$A:$C,Contents!$D$14,0)</f>
        <v>(УБЫТОК)/ПРИБЫЛЬ ЗА ОТЧЕТНЫЙ ПЕРИОД</v>
      </c>
      <c r="B33" s="76">
        <f>SUM(B31:B32)</f>
        <v>-3002</v>
      </c>
      <c r="C33" s="76">
        <f>SUM(C31:C32)</f>
        <v>5064</v>
      </c>
    </row>
    <row r="34" spans="1:3" ht="15.75" x14ac:dyDescent="0.25">
      <c r="A34" s="8" t="str">
        <f>VLOOKUP(407,dict!$A:$C,Contents!$D$14,0)</f>
        <v>Прочий совокупный доход</v>
      </c>
      <c r="B34" s="86"/>
      <c r="C34" s="86"/>
    </row>
    <row r="35" spans="1:3" ht="30" x14ac:dyDescent="0.25">
      <c r="A35" s="8" t="str">
        <f>VLOOKUP(412,dict!$A:$C,Contents!$D$14,0)</f>
        <v>Статьи, которые впоследствии могут быть переклассифицированы в состав прибыли или убытка</v>
      </c>
      <c r="B35" s="86"/>
      <c r="C35" s="86"/>
    </row>
    <row r="36" spans="1:3" ht="45" x14ac:dyDescent="0.25">
      <c r="A36" s="7" t="str">
        <f>VLOOKUP(416.1,dict!$A:$C,Contents!$D$14,0)</f>
        <v>Инвестиции в ценные бумаги, оцениваемые по справедливой стоимости через прочий совокупный доход:</v>
      </c>
      <c r="B36" s="16"/>
      <c r="C36" s="16"/>
    </row>
    <row r="37" spans="1:3" ht="15.75" x14ac:dyDescent="0.25">
      <c r="A37" s="7" t="str">
        <f>VLOOKUP(419,dict!$A:$C,Contents!$D$14,0)</f>
        <v xml:space="preserve"> - изменение фонда переоценки</v>
      </c>
      <c r="B37" s="16">
        <v>-11</v>
      </c>
      <c r="C37" s="16">
        <v>431</v>
      </c>
    </row>
    <row r="38" spans="1:3" ht="30" x14ac:dyDescent="0.25">
      <c r="A38" s="7" t="str">
        <f>VLOOKUP(416.6,dict!$A:$C,Contents!$D$14,0)</f>
        <v>-налог на прибыль, отраженный непосредственно в прочем совокупном доходе</v>
      </c>
      <c r="B38" s="16">
        <v>2</v>
      </c>
      <c r="C38" s="16">
        <v>-86</v>
      </c>
    </row>
    <row r="39" spans="1:3" ht="15.75" x14ac:dyDescent="0.25">
      <c r="A39" s="7"/>
      <c r="B39" s="16"/>
      <c r="C39" s="16"/>
    </row>
    <row r="40" spans="1:3" ht="30" x14ac:dyDescent="0.25">
      <c r="A40" s="8" t="str">
        <f>VLOOKUP(417,dict!$A:$C,Contents!$D$14,0)</f>
        <v>Статьи, которые впоследствии не могут быть переклассифицированы в состав прибыли или убытка</v>
      </c>
      <c r="B40" s="16"/>
      <c r="C40" s="16"/>
    </row>
    <row r="41" spans="1:3" ht="15.75" x14ac:dyDescent="0.25">
      <c r="A41" s="7" t="str">
        <f>VLOOKUP(418,dict!$A:$C,Contents!$D$14,0)</f>
        <v>Основные средства:</v>
      </c>
      <c r="B41" s="16"/>
      <c r="C41" s="16"/>
    </row>
    <row r="42" spans="1:3" ht="15.75" x14ac:dyDescent="0.25">
      <c r="A42" s="7" t="str">
        <f>VLOOKUP(419,dict!$A:$C,Contents!$D$14,0)</f>
        <v xml:space="preserve"> - изменение фонда переоценки</v>
      </c>
      <c r="B42" s="16">
        <v>-68</v>
      </c>
      <c r="C42" s="16">
        <v>95</v>
      </c>
    </row>
    <row r="43" spans="1:3" ht="30" x14ac:dyDescent="0.25">
      <c r="A43" s="7" t="str">
        <f>VLOOKUP(420,dict!$A:$C,Contents!$D$14,0)</f>
        <v xml:space="preserve"> - налог на прибыль, относящийся к переоценке основных средств</v>
      </c>
      <c r="B43" s="16">
        <v>14</v>
      </c>
      <c r="C43" s="16">
        <v>-19</v>
      </c>
    </row>
    <row r="44" spans="1:3" ht="15.75" x14ac:dyDescent="0.25">
      <c r="A44" s="7"/>
      <c r="B44" s="16"/>
      <c r="C44" s="16"/>
    </row>
    <row r="45" spans="1:3" ht="15.75" x14ac:dyDescent="0.25">
      <c r="A45" s="78" t="str">
        <f>VLOOKUP(423.2,dict!$A:$C,Contents!$D$14,0)</f>
        <v>Прочий совокупный (убыток)/доход  за отчетный период</v>
      </c>
      <c r="B45" s="76">
        <f>SUM(B36:B43)</f>
        <v>-63</v>
      </c>
      <c r="C45" s="76">
        <f>SUM(C36:C43)</f>
        <v>421</v>
      </c>
    </row>
    <row r="46" spans="1:3" ht="30" x14ac:dyDescent="0.25">
      <c r="A46" s="79" t="str">
        <f>VLOOKUP(424,dict!$A:$C,Contents!$D$14,0)</f>
        <v>ИТОГО СОВОКУПНЫЙ (УБЫТОК)/ДОХОД ЗА ОТЧЕТНЫЙ ПЕРИОД</v>
      </c>
      <c r="B46" s="85">
        <f>B33+B45</f>
        <v>-3065</v>
      </c>
      <c r="C46" s="85">
        <f>C33+C45</f>
        <v>5485</v>
      </c>
    </row>
    <row r="47" spans="1:3" ht="45" x14ac:dyDescent="0.25">
      <c r="A47" s="8" t="str">
        <f>VLOOKUP(431.2,dict!$A:$C,Contents!$D$14,0)</f>
        <v>Базовая и разводненная прибыль на обыкновенную акцию 
(в российских рублях за акцию)</v>
      </c>
      <c r="B47" s="16"/>
      <c r="C47" s="83"/>
    </row>
    <row r="48" spans="1:3" s="23" customFormat="1" ht="15.75" x14ac:dyDescent="0.25">
      <c r="A48" s="87" t="str">
        <f>VLOOKUP(189,dict!$A:$C,Contents!$D$14,0)</f>
        <v>Обыкновенные акции</v>
      </c>
      <c r="B48" s="137">
        <v>-120</v>
      </c>
      <c r="C48" s="137">
        <v>202</v>
      </c>
    </row>
    <row r="49" spans="1:3" s="23" customFormat="1" x14ac:dyDescent="0.2">
      <c r="A49" s="10"/>
      <c r="B49" s="61"/>
      <c r="C49" s="61"/>
    </row>
    <row r="50" spans="1:3" x14ac:dyDescent="0.2">
      <c r="B50" s="142"/>
      <c r="C50" s="142"/>
    </row>
  </sheetData>
  <customSheetViews>
    <customSheetView guid="{EF7F1FF5-A363-4212-950F-F377D0676E4F}" showPageBreaks="1" printArea="1" showRuler="0">
      <selection activeCell="B6" sqref="B6:B7"/>
      <pageMargins left="0.74803149606299213" right="0.74803149606299213" top="0.98425196850393704" bottom="0.98425196850393704" header="0.51181102362204722" footer="0.51181102362204722"/>
      <pageSetup paperSize="9" scale="60" orientation="portrait" r:id="rId1"/>
      <headerFooter alignWithMargins="0"/>
    </customSheetView>
    <customSheetView guid="{BA259822-0E07-4052-A562-F895651CF688}" showPageBreaks="1" showRuler="0">
      <pane xSplit="1" ySplit="10" topLeftCell="B17" activePane="bottomRight" state="frozen"/>
      <selection pane="bottomRight" activeCell="A19" sqref="A19"/>
      <pageMargins left="0.75" right="0.75" top="1" bottom="1" header="0.5" footer="0.5"/>
      <pageSetup paperSize="9" orientation="portrait" r:id="rId2"/>
      <headerFooter alignWithMargins="0"/>
    </customSheetView>
    <customSheetView guid="{EC5F2008-392D-40E4-B096-5FE6B8C97B31}" showRuler="0" topLeftCell="A32">
      <selection activeCell="C11" sqref="C11"/>
      <pageMargins left="0.74803149606299213" right="0.74803149606299213" top="0.98425196850393704" bottom="0.98425196850393704" header="0.51181102362204722" footer="0.51181102362204722"/>
      <pageSetup paperSize="9" scale="60" orientation="portrait" r:id="rId3"/>
      <headerFooter alignWithMargins="0"/>
    </customSheetView>
    <customSheetView guid="{16DABAA0-1513-42C6-9007-B1BF840F9470}" showRuler="0">
      <pane xSplit="1" ySplit="10" topLeftCell="B23" activePane="bottomRight" state="frozen"/>
      <selection pane="bottomRight" activeCell="E17" sqref="E17"/>
      <pageMargins left="0.75" right="0.75" top="1" bottom="1" header="0.5" footer="0.5"/>
      <pageSetup paperSize="9" orientation="portrait" r:id="rId4"/>
      <headerFooter alignWithMargins="0"/>
    </customSheetView>
    <customSheetView guid="{371123B4-BB2D-4334-AFFE-1C19B7394DB8}" scale="90" showRuler="0">
      <pane xSplit="1" ySplit="10" topLeftCell="B39" activePane="bottomRight" state="frozen"/>
      <selection pane="bottomRight" activeCell="A48" sqref="A48"/>
      <pageMargins left="0.75" right="0.75" top="1" bottom="1" header="0.5" footer="0.5"/>
      <pageSetup paperSize="9" orientation="portrait" r:id="rId5"/>
      <headerFooter alignWithMargins="0"/>
    </customSheetView>
    <customSheetView guid="{E2FF84D5-4AA5-487D-9BD4-62B26247C042}" showPageBreaks="1" showRuler="0">
      <selection activeCell="A10" sqref="A10"/>
      <pageMargins left="0.75" right="0.75" top="1" bottom="1" header="0.5" footer="0.5"/>
      <pageSetup paperSize="9" orientation="portrait" r:id="rId6"/>
      <headerFooter alignWithMargins="0"/>
    </customSheetView>
    <customSheetView guid="{91AD1FE3-D144-4231-BFD3-69CCAD3A157C}" showRuler="0">
      <selection activeCell="B41" sqref="B41"/>
      <pageMargins left="0.75" right="0.75" top="1" bottom="1" header="0.5" footer="0.5"/>
      <pageSetup paperSize="9" orientation="portrait" r:id="rId7"/>
      <headerFooter alignWithMargins="0"/>
    </customSheetView>
    <customSheetView guid="{78A2E613-9A38-4028-90E9-40A4D5FC75E6}" showRuler="0">
      <pane xSplit="1" ySplit="12" topLeftCell="G13" activePane="bottomRight" state="frozen"/>
      <selection pane="bottomRight" activeCell="H20" sqref="H20"/>
      <pageMargins left="0.75" right="0.75" top="1" bottom="1" header="0.5" footer="0.5"/>
      <pageSetup paperSize="9" orientation="portrait" r:id="rId8"/>
      <headerFooter alignWithMargins="0"/>
    </customSheetView>
    <customSheetView guid="{F7754C05-3DA4-4D41-8D23-8E948B6B42DF}" showPageBreaks="1" printArea="1" showRuler="0" topLeftCell="A7">
      <selection activeCell="A26" sqref="A26"/>
      <pageMargins left="0.74803149606299213" right="0.74803149606299213" top="0.98425196850393704" bottom="0.98425196850393704" header="0.51181102362204722" footer="0.51181102362204722"/>
      <pageSetup paperSize="9" scale="60" orientation="portrait" r:id="rId9"/>
      <headerFooter alignWithMargins="0"/>
    </customSheetView>
  </customSheetViews>
  <mergeCells count="7">
    <mergeCell ref="F6:F7"/>
    <mergeCell ref="B6:B7"/>
    <mergeCell ref="C8:C9"/>
    <mergeCell ref="A6:A7"/>
    <mergeCell ref="C6:C7"/>
    <mergeCell ref="D6:D7"/>
    <mergeCell ref="E6:E7"/>
  </mergeCells>
  <phoneticPr fontId="6" type="noConversion"/>
  <hyperlinks>
    <hyperlink ref="B6:B7" location="Contents!A1" display="Содержание"/>
    <hyperlink ref="C6" location="'Statement of fin position'!A1" display="'Statement of fin position'!A1"/>
    <hyperlink ref="D6:D7" location="'Statement of compreh income'!A1" display="'Statement of compreh income'!A1"/>
    <hyperlink ref="E6:E7" location="'Statement of compreh income'!A1" display="'Statement of compreh income'!A1"/>
    <hyperlink ref="E6" location="'Statement of compreh income'!A1" display="'Statement of compreh income'!A1"/>
    <hyperlink ref="D6" location="'Statement of compreh income'!A1" display="'Statement of compreh income'!A1"/>
  </hyperlinks>
  <pageMargins left="0.74803149606299213" right="0.74803149606299213" top="0.98425196850393704" bottom="0.98425196850393704" header="0.51181102362204722" footer="0.51181102362204722"/>
  <pageSetup paperSize="9" scale="60" orientation="portrait" r:id="rId10"/>
  <headerFooter alignWithMargins="0"/>
  <drawing r:id="rId11"/>
  <legacyDrawing r:id="rId1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797" r:id="rId13" name="Drop Down 581">
              <controlPr defaultSize="0" autoLine="0" autoPict="0">
                <anchor moveWithCells="1">
                  <from>
                    <xdr:col>2</xdr:col>
                    <xdr:colOff>38100</xdr:colOff>
                    <xdr:row>1</xdr:row>
                    <xdr:rowOff>152400</xdr:rowOff>
                  </from>
                  <to>
                    <xdr:col>2</xdr:col>
                    <xdr:colOff>1047750</xdr:colOff>
                    <xdr:row>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>
    <tabColor theme="3" tint="0.59999389629810485"/>
  </sheetPr>
  <dimension ref="A1:H26"/>
  <sheetViews>
    <sheetView topLeftCell="A5" zoomScale="90" zoomScaleNormal="90" workbookViewId="0">
      <selection activeCell="A17" sqref="A17"/>
    </sheetView>
  </sheetViews>
  <sheetFormatPr defaultColWidth="8.88671875" defaultRowHeight="15" x14ac:dyDescent="0.2"/>
  <cols>
    <col min="1" max="1" width="29.5546875" style="25" customWidth="1"/>
    <col min="2" max="2" width="8.21875" style="26" customWidth="1"/>
    <col min="3" max="5" width="13.109375" style="25" customWidth="1"/>
    <col min="6" max="6" width="14.33203125" style="25" customWidth="1"/>
    <col min="7" max="7" width="13.109375" style="25" customWidth="1"/>
    <col min="8" max="16384" width="8.88671875" style="25"/>
  </cols>
  <sheetData>
    <row r="1" spans="1:8" s="5" customFormat="1" ht="13.5" customHeight="1" x14ac:dyDescent="0.2"/>
    <row r="2" spans="1:8" s="5" customFormat="1" ht="13.5" customHeight="1" x14ac:dyDescent="0.2"/>
    <row r="3" spans="1:8" s="5" customFormat="1" ht="13.5" customHeight="1" x14ac:dyDescent="0.2">
      <c r="B3" s="43" t="str">
        <f>VLOOKUP(329,dict!$A:$C,Contents!$D$14,0)</f>
        <v>Выбор языка</v>
      </c>
    </row>
    <row r="4" spans="1:8" s="5" customFormat="1" ht="13.5" customHeight="1" x14ac:dyDescent="0.2"/>
    <row r="5" spans="1:8" s="5" customFormat="1" ht="13.5" customHeight="1" x14ac:dyDescent="0.2"/>
    <row r="6" spans="1:8" s="5" customFormat="1" ht="38.25" customHeight="1" x14ac:dyDescent="0.2">
      <c r="A6" s="185" t="str">
        <f>VLOOKUP(8,dict!$A:$C,Contents!$D$14,0)</f>
        <v>Консолидированный отчет об изменениях в собственном капитале</v>
      </c>
      <c r="B6" s="181" t="str">
        <f>VLOOKUP(33,dict!$A:$C,Contents!$D$14,0)</f>
        <v>Содержание</v>
      </c>
      <c r="C6" s="181" t="str">
        <f>VLOOKUP(2,dict!$A:$C,Contents!$D$14,0)</f>
        <v>Консолидированный отчет о финансовом положении</v>
      </c>
      <c r="D6" s="181" t="str">
        <f>VLOOKUP(6,dict!$A:$C,Contents!$D$14,0)</f>
        <v>Консолидированный отчет о прибыли или убытке и прочем совокупном доходе</v>
      </c>
      <c r="E6" s="188" t="str">
        <f>VLOOKUP(8,dict!$A:$C,Contents!$D$14,0)</f>
        <v>Консолидированный отчет об изменениях в собственном капитале</v>
      </c>
      <c r="F6" s="181" t="str">
        <f>VLOOKUP(9,dict!$A:$C,Contents!$D$14,0)</f>
        <v>Консолидированный отчет о движении денежных средств</v>
      </c>
    </row>
    <row r="7" spans="1:8" s="48" customFormat="1" ht="20.25" customHeight="1" thickBot="1" x14ac:dyDescent="0.35">
      <c r="A7" s="186"/>
      <c r="B7" s="182"/>
      <c r="C7" s="182"/>
      <c r="D7" s="182"/>
      <c r="E7" s="189"/>
      <c r="F7" s="182"/>
    </row>
    <row r="8" spans="1:8" ht="15.75" customHeight="1" thickTop="1" x14ac:dyDescent="0.2">
      <c r="A8" s="27"/>
      <c r="B8" s="19"/>
      <c r="C8" s="19"/>
      <c r="D8" s="19"/>
      <c r="E8" s="19"/>
    </row>
    <row r="9" spans="1:8" ht="15.75" customHeight="1" x14ac:dyDescent="0.25">
      <c r="A9" s="14" t="str">
        <f>VLOOKUP(35,dict!$A:$C,Contents!$D$14,0)</f>
        <v>в миллионах российских рублей</v>
      </c>
      <c r="B9" s="19"/>
      <c r="C9" s="19"/>
      <c r="D9" s="19"/>
      <c r="E9" s="19"/>
    </row>
    <row r="10" spans="1:8" ht="102" customHeight="1" thickBot="1" x14ac:dyDescent="0.25">
      <c r="A10" s="28"/>
      <c r="B10" s="57" t="str">
        <f>VLOOKUP(265,dict!$A:$C,Contents!$D$14,0)</f>
        <v>Акционерный капитал</v>
      </c>
      <c r="C10" s="57" t="str">
        <f>VLOOKUP(266,dict!$A:$C,Contents!$D$14,0)</f>
        <v>Эмиссионный доход</v>
      </c>
      <c r="D10" s="57" t="str">
        <f>VLOOKUP(267.1,dict!$A:$C,Contents!$D$14,0)</f>
        <v>Фонд переоценки ценных бумаг, оцениваемых по справедливой стоимости через прочий совокупный доход</v>
      </c>
      <c r="E10" s="57" t="str">
        <f>VLOOKUP(62.1,dict!$A:$C,Contents!$D$14,0)</f>
        <v>Фонд переоценки основных средств</v>
      </c>
      <c r="F10" s="57" t="str">
        <f>VLOOKUP(449,dict!$A:$C,Contents!$D$14,0)</f>
        <v>Бессрочный субординированный кредит</v>
      </c>
      <c r="G10" s="57" t="str">
        <f>VLOOKUP(268,dict!$A:$C,Contents!$D$14,0)</f>
        <v>Нераспределенная прибыль</v>
      </c>
      <c r="H10" s="58" t="str">
        <f>VLOOKUP(63.1,dict!$A:$C,Contents!$D$14,0)</f>
        <v>ИТОГО</v>
      </c>
    </row>
    <row r="11" spans="1:8" ht="15.75" customHeight="1" thickTop="1" x14ac:dyDescent="0.25">
      <c r="A11" s="145" t="str">
        <f>VLOOKUP(409,dict!$A:$C,Contents!$D$14,0)</f>
        <v>Остаток на 1 января 2020 года</v>
      </c>
      <c r="B11" s="146">
        <f>B25</f>
        <v>250</v>
      </c>
      <c r="C11" s="146">
        <f t="shared" ref="C11:H11" si="0">C25</f>
        <v>7306</v>
      </c>
      <c r="D11" s="146">
        <f t="shared" si="0"/>
        <v>6</v>
      </c>
      <c r="E11" s="146">
        <f t="shared" si="0"/>
        <v>2103</v>
      </c>
      <c r="F11" s="146">
        <f t="shared" si="0"/>
        <v>0</v>
      </c>
      <c r="G11" s="146">
        <f t="shared" si="0"/>
        <v>11044</v>
      </c>
      <c r="H11" s="148">
        <f t="shared" si="0"/>
        <v>20709</v>
      </c>
    </row>
    <row r="12" spans="1:8" ht="27.75" customHeight="1" x14ac:dyDescent="0.25">
      <c r="A12" s="90" t="str">
        <f>VLOOKUP(364.1,dict!$A:$C,Contents!$D$14,0)</f>
        <v>Убыток за год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-3002</v>
      </c>
      <c r="H12" s="56">
        <f>SUM(B12:G12)</f>
        <v>-3002</v>
      </c>
    </row>
    <row r="13" spans="1:8" ht="27.75" customHeight="1" x14ac:dyDescent="0.25">
      <c r="A13" s="90" t="str">
        <f>VLOOKUP(357,dict!$A:$C,Contents!$D$14,0)</f>
        <v>Прочий совокупный убыток за год</v>
      </c>
      <c r="B13" s="30">
        <v>0</v>
      </c>
      <c r="C13" s="30">
        <v>0</v>
      </c>
      <c r="D13" s="30">
        <v>-9</v>
      </c>
      <c r="E13" s="30">
        <v>-54</v>
      </c>
      <c r="F13" s="30">
        <v>0</v>
      </c>
      <c r="G13" s="30">
        <v>0</v>
      </c>
      <c r="H13" s="56">
        <f>SUM(B13:G13)</f>
        <v>-63</v>
      </c>
    </row>
    <row r="14" spans="1:8" ht="15.75" customHeight="1" x14ac:dyDescent="0.25">
      <c r="A14" s="74" t="str">
        <f>VLOOKUP(358.1,dict!$A:$C,Contents!$D$14,0)</f>
        <v>Итого совокупный убыток</v>
      </c>
      <c r="B14" s="75">
        <f>B12+B13</f>
        <v>0</v>
      </c>
      <c r="C14" s="75">
        <f t="shared" ref="C14:G14" si="1">C12+C13</f>
        <v>0</v>
      </c>
      <c r="D14" s="75">
        <f t="shared" si="1"/>
        <v>-9</v>
      </c>
      <c r="E14" s="75">
        <f t="shared" si="1"/>
        <v>-54</v>
      </c>
      <c r="F14" s="75">
        <f t="shared" si="1"/>
        <v>0</v>
      </c>
      <c r="G14" s="75">
        <f t="shared" si="1"/>
        <v>-3002</v>
      </c>
      <c r="H14" s="75">
        <f>SUM(H12:H13)</f>
        <v>-3065</v>
      </c>
    </row>
    <row r="15" spans="1:8" ht="15.75" customHeight="1" x14ac:dyDescent="0.25">
      <c r="A15" s="170" t="str">
        <f>VLOOKUP(256,dict!$A:$C,Contents!$D$14,0)</f>
        <v>Дивиденды объявленные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-3</v>
      </c>
      <c r="H15" s="56">
        <f>SUM(B15:G15)</f>
        <v>-3</v>
      </c>
    </row>
    <row r="16" spans="1:8" ht="15.75" customHeight="1" x14ac:dyDescent="0.25">
      <c r="A16" s="170" t="str">
        <f>VLOOKUP(449,dict!$A:$C,Contents!$D$14,0)</f>
        <v>Бессрочный субординированный кредит</v>
      </c>
      <c r="B16" s="30">
        <v>0</v>
      </c>
      <c r="C16" s="30">
        <v>0</v>
      </c>
      <c r="D16" s="30">
        <v>0</v>
      </c>
      <c r="E16" s="30">
        <v>0</v>
      </c>
      <c r="F16" s="30">
        <v>2000</v>
      </c>
      <c r="G16" s="30">
        <v>0</v>
      </c>
      <c r="H16" s="56">
        <f>SUM(B16:G16)</f>
        <v>2000</v>
      </c>
    </row>
    <row r="17" spans="1:8" ht="15.75" customHeight="1" x14ac:dyDescent="0.25">
      <c r="A17" s="170" t="str">
        <f>VLOOKUP(450,dict!$A:$C,Contents!$D$14,0)</f>
        <v>Выплаты по бессрочным субординированным кредитам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-6</v>
      </c>
      <c r="H17" s="56">
        <f>SUM(B17:G17)</f>
        <v>-6</v>
      </c>
    </row>
    <row r="18" spans="1:8" ht="31.5" customHeight="1" thickBot="1" x14ac:dyDescent="0.3">
      <c r="A18" s="6" t="str">
        <f>VLOOKUP(262,dict!$A:$C,Contents!$D$14,0)</f>
        <v>Остаток на 31 декабря 2020 года</v>
      </c>
      <c r="B18" s="37">
        <f>B14+B11+B15+B16+B17</f>
        <v>250</v>
      </c>
      <c r="C18" s="37">
        <f t="shared" ref="C18:G18" si="2">C14+C11+C15+C16+C17</f>
        <v>7306</v>
      </c>
      <c r="D18" s="92">
        <f t="shared" si="2"/>
        <v>-3</v>
      </c>
      <c r="E18" s="37">
        <f t="shared" si="2"/>
        <v>2049</v>
      </c>
      <c r="F18" s="37">
        <f t="shared" si="2"/>
        <v>2000</v>
      </c>
      <c r="G18" s="37">
        <f t="shared" si="2"/>
        <v>8033</v>
      </c>
      <c r="H18" s="37">
        <f>H14+H11+H15+H16+H17</f>
        <v>19635</v>
      </c>
    </row>
    <row r="19" spans="1:8" ht="31.5" customHeight="1" thickTop="1" thickBot="1" x14ac:dyDescent="0.3">
      <c r="A19" s="161"/>
      <c r="B19" s="162"/>
      <c r="C19" s="162"/>
      <c r="D19" s="162"/>
      <c r="E19" s="162"/>
      <c r="F19" s="162"/>
      <c r="G19" s="162"/>
      <c r="H19" s="162"/>
    </row>
    <row r="20" spans="1:8" ht="29.25" customHeight="1" thickTop="1" x14ac:dyDescent="0.25">
      <c r="A20" s="175" t="str">
        <f>VLOOKUP(409.1,dict!$A:$C,Contents!$D$14,0)</f>
        <v>Остаток на 1 января 2019 года</v>
      </c>
      <c r="B20" s="146">
        <v>250</v>
      </c>
      <c r="C20" s="146">
        <v>7306</v>
      </c>
      <c r="D20" s="146">
        <v>-339</v>
      </c>
      <c r="E20" s="146">
        <v>2027</v>
      </c>
      <c r="F20" s="146">
        <v>0</v>
      </c>
      <c r="G20" s="147">
        <v>5983</v>
      </c>
      <c r="H20" s="148">
        <f>SUM(B20:G20)</f>
        <v>15227</v>
      </c>
    </row>
    <row r="21" spans="1:8" x14ac:dyDescent="0.25">
      <c r="A21" s="90" t="str">
        <f>VLOOKUP(356.1,dict!$A:$C,Contents!$D$14,0)</f>
        <v>Прибыль за год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5064</v>
      </c>
      <c r="H21" s="56">
        <f>SUM(B21:G21)</f>
        <v>5064</v>
      </c>
    </row>
    <row r="22" spans="1:8" ht="38.25" customHeight="1" x14ac:dyDescent="0.25">
      <c r="A22" s="143" t="str">
        <f>VLOOKUP(407,dict!$A:$C,Contents!$D$14,0)</f>
        <v>Прочий совокупный доход</v>
      </c>
      <c r="B22" s="83">
        <v>0</v>
      </c>
      <c r="C22" s="83">
        <v>0</v>
      </c>
      <c r="D22" s="83">
        <v>345</v>
      </c>
      <c r="E22" s="83">
        <v>76</v>
      </c>
      <c r="F22" s="83">
        <v>0</v>
      </c>
      <c r="G22" s="83">
        <v>0</v>
      </c>
      <c r="H22" s="56">
        <f>SUM(B22:G22)</f>
        <v>421</v>
      </c>
    </row>
    <row r="23" spans="1:8" s="71" customFormat="1" x14ac:dyDescent="0.25">
      <c r="A23" s="74" t="str">
        <f>VLOOKUP(368,dict!$A:$C,Contents!$D$14,0)</f>
        <v>Итого совокупный доход</v>
      </c>
      <c r="B23" s="75">
        <f>B21+B22</f>
        <v>0</v>
      </c>
      <c r="C23" s="75">
        <f t="shared" ref="C23:F23" si="3">C21+C22</f>
        <v>0</v>
      </c>
      <c r="D23" s="75">
        <f t="shared" si="3"/>
        <v>345</v>
      </c>
      <c r="E23" s="75">
        <f t="shared" si="3"/>
        <v>76</v>
      </c>
      <c r="F23" s="75">
        <f t="shared" si="3"/>
        <v>0</v>
      </c>
      <c r="G23" s="75">
        <f>G21+G22</f>
        <v>5064</v>
      </c>
      <c r="H23" s="75">
        <f>H21+H22</f>
        <v>5485</v>
      </c>
    </row>
    <row r="24" spans="1:8" s="71" customFormat="1" x14ac:dyDescent="0.25">
      <c r="A24" s="143" t="str">
        <f>VLOOKUP(256,dict!$A:$C,Contents!$D$14,0)</f>
        <v>Дивиденды объявленные</v>
      </c>
      <c r="B24" s="166">
        <v>0</v>
      </c>
      <c r="C24" s="166">
        <v>0</v>
      </c>
      <c r="D24" s="166">
        <v>0</v>
      </c>
      <c r="E24" s="166">
        <v>0</v>
      </c>
      <c r="F24" s="166">
        <v>0</v>
      </c>
      <c r="G24" s="30">
        <v>-3</v>
      </c>
      <c r="H24" s="30">
        <f>SUM(B24:G24)</f>
        <v>-3</v>
      </c>
    </row>
    <row r="25" spans="1:8" s="71" customFormat="1" ht="27.75" customHeight="1" thickBot="1" x14ac:dyDescent="0.3">
      <c r="A25" s="6" t="str">
        <f>VLOOKUP(254,dict!$A:$C,Contents!$D$14,0)</f>
        <v>Остаток на 31 декабря 2019 года</v>
      </c>
      <c r="B25" s="37">
        <f>SUM(B20,B23,B24)</f>
        <v>250</v>
      </c>
      <c r="C25" s="37">
        <f t="shared" ref="C25:F25" si="4">SUM(C20,C23,C24)</f>
        <v>7306</v>
      </c>
      <c r="D25" s="92">
        <f>SUM(D20,D23,D24)</f>
        <v>6</v>
      </c>
      <c r="E25" s="37">
        <f t="shared" si="4"/>
        <v>2103</v>
      </c>
      <c r="F25" s="172">
        <f t="shared" si="4"/>
        <v>0</v>
      </c>
      <c r="G25" s="37">
        <f>SUM(G20,G23,G24)</f>
        <v>11044</v>
      </c>
      <c r="H25" s="37">
        <f>SUM(H20,H23,H24)</f>
        <v>20709</v>
      </c>
    </row>
    <row r="26" spans="1:8" ht="15.75" thickTop="1" x14ac:dyDescent="0.2"/>
  </sheetData>
  <customSheetViews>
    <customSheetView guid="{EF7F1FF5-A363-4212-950F-F377D0676E4F}" showPageBreaks="1" printArea="1" topLeftCell="A6">
      <selection activeCell="A20" sqref="A20"/>
      <pageMargins left="0.74803149606299213" right="0.74803149606299213" top="0.98425196850393704" bottom="0.98425196850393704" header="0.51181102362204722" footer="0.51181102362204722"/>
      <pageSetup paperSize="9" scale="70" orientation="landscape" r:id="rId1"/>
      <headerFooter alignWithMargins="0"/>
    </customSheetView>
    <customSheetView guid="{BA259822-0E07-4052-A562-F895651CF688}" showPageBreaks="1" printArea="1" topLeftCell="A13">
      <selection activeCell="H10" sqref="H10"/>
      <pageMargins left="0.75" right="0.75" top="1" bottom="1" header="0.5" footer="0.5"/>
      <pageSetup paperSize="9" orientation="portrait" r:id="rId2"/>
      <headerFooter alignWithMargins="0"/>
    </customSheetView>
    <customSheetView guid="{EC5F2008-392D-40E4-B096-5FE6B8C97B31}" topLeftCell="A8">
      <selection activeCell="F13" sqref="F13"/>
      <pageMargins left="0.74803149606299213" right="0.74803149606299213" top="0.98425196850393704" bottom="0.98425196850393704" header="0.51181102362204722" footer="0.51181102362204722"/>
      <pageSetup paperSize="9" scale="70" orientation="landscape" r:id="rId3"/>
      <headerFooter alignWithMargins="0"/>
    </customSheetView>
    <customSheetView guid="{16DABAA0-1513-42C6-9007-B1BF840F9470}" showPageBreaks="1" printArea="1">
      <selection activeCell="D10" sqref="D10"/>
      <pageMargins left="0.75" right="0.75" top="1" bottom="1" header="0.5" footer="0.5"/>
      <pageSetup paperSize="9" orientation="portrait" r:id="rId4"/>
      <headerFooter alignWithMargins="0"/>
    </customSheetView>
    <customSheetView guid="{371123B4-BB2D-4334-AFFE-1C19B7394DB8}" showPageBreaks="1" printArea="1" topLeftCell="A10">
      <selection activeCell="A43" sqref="A43"/>
      <pageMargins left="0.75" right="0.75" top="1" bottom="1" header="0.5" footer="0.5"/>
      <pageSetup paperSize="9" orientation="portrait" r:id="rId5"/>
      <headerFooter alignWithMargins="0"/>
    </customSheetView>
    <customSheetView guid="{E2FF84D5-4AA5-487D-9BD4-62B26247C042}" showRuler="0">
      <selection activeCell="H6" sqref="H6"/>
      <pageMargins left="0.75" right="0.75" top="1" bottom="1" header="0.5" footer="0.5"/>
      <headerFooter alignWithMargins="0"/>
    </customSheetView>
    <customSheetView guid="{F7754C05-3DA4-4D41-8D23-8E948B6B42DF}" showPageBreaks="1" printArea="1" topLeftCell="A3">
      <selection activeCell="A22" sqref="A22"/>
      <pageMargins left="0.74803149606299213" right="0.74803149606299213" top="0.98425196850393704" bottom="0.98425196850393704" header="0.51181102362204722" footer="0.51181102362204722"/>
      <pageSetup paperSize="9" scale="70" orientation="landscape" r:id="rId6"/>
      <headerFooter alignWithMargins="0"/>
    </customSheetView>
  </customSheetViews>
  <mergeCells count="6">
    <mergeCell ref="F6:F7"/>
    <mergeCell ref="D6:D7"/>
    <mergeCell ref="E6:E7"/>
    <mergeCell ref="A6:A7"/>
    <mergeCell ref="B6:B7"/>
    <mergeCell ref="C6:C7"/>
  </mergeCells>
  <phoneticPr fontId="6" type="noConversion"/>
  <hyperlinks>
    <hyperlink ref="D6" location="'Statement of compreh income'!A1" display="'Statement of compreh income'!A1"/>
    <hyperlink ref="C6" location="'Statement of financial position'!A1" display="'Statement of financial position'!A1"/>
    <hyperlink ref="B6:B7" location="Contents!A1" display="Содержание"/>
    <hyperlink ref="C6:C7" location="KPI!A1" display="KPI!A1"/>
    <hyperlink ref="E6" location="'Statement of changes in equity'!A1" display="'Statement of changes in equity'!A1"/>
    <hyperlink ref="F6" location="'Statement of cash flows'!A1" display="'Statement of cash flows'!A1"/>
  </hyperlinks>
  <pageMargins left="0.74803149606299213" right="0.74803149606299213" top="0.98425196850393704" bottom="0.98425196850393704" header="0.51181102362204722" footer="0.51181102362204722"/>
  <pageSetup paperSize="9" scale="70" orientation="landscape" r:id="rId7"/>
  <headerFooter alignWithMargins="0"/>
  <drawing r:id="rId8"/>
  <legacyDrawing r:id="rId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891" r:id="rId10" name="Drop Down 579">
              <controlPr defaultSize="0" autoLine="0" autoPict="0">
                <anchor moveWithCells="1">
                  <from>
                    <xdr:col>2</xdr:col>
                    <xdr:colOff>0</xdr:colOff>
                    <xdr:row>2</xdr:row>
                    <xdr:rowOff>0</xdr:rowOff>
                  </from>
                  <to>
                    <xdr:col>2</xdr:col>
                    <xdr:colOff>1009650</xdr:colOff>
                    <xdr:row>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tabColor theme="3" tint="0.59999389629810485"/>
    <pageSetUpPr fitToPage="1"/>
  </sheetPr>
  <dimension ref="A1:U71"/>
  <sheetViews>
    <sheetView topLeftCell="A28" zoomScale="90" zoomScaleNormal="90" workbookViewId="0">
      <selection activeCell="A51" sqref="A51"/>
    </sheetView>
  </sheetViews>
  <sheetFormatPr defaultColWidth="8.88671875" defaultRowHeight="15" x14ac:dyDescent="0.2"/>
  <cols>
    <col min="1" max="1" width="59.44140625" style="160" customWidth="1"/>
    <col min="2" max="2" width="8.88671875" style="33" customWidth="1"/>
    <col min="3" max="3" width="12.88671875" style="34" customWidth="1"/>
    <col min="4" max="6" width="12.88671875" style="22" customWidth="1"/>
    <col min="7" max="13" width="11.77734375" style="22" customWidth="1"/>
    <col min="14" max="19" width="8.88671875" style="22" customWidth="1"/>
    <col min="20" max="16384" width="8.88671875" style="22"/>
  </cols>
  <sheetData>
    <row r="1" spans="1:21" s="5" customFormat="1" ht="13.5" customHeight="1" x14ac:dyDescent="0.2">
      <c r="A1" s="151"/>
    </row>
    <row r="2" spans="1:21" s="5" customFormat="1" ht="13.5" customHeight="1" x14ac:dyDescent="0.2">
      <c r="A2" s="151"/>
    </row>
    <row r="3" spans="1:21" s="5" customFormat="1" ht="13.5" customHeight="1" x14ac:dyDescent="0.2">
      <c r="A3" s="151"/>
      <c r="B3" s="43" t="str">
        <f>VLOOKUP(329,dict!$A:$C,Contents!$D$14,0)</f>
        <v>Выбор языка</v>
      </c>
    </row>
    <row r="4" spans="1:21" s="5" customFormat="1" ht="13.5" customHeight="1" x14ac:dyDescent="0.2">
      <c r="A4" s="151"/>
    </row>
    <row r="5" spans="1:21" s="5" customFormat="1" ht="13.5" customHeight="1" x14ac:dyDescent="0.2">
      <c r="A5" s="151"/>
    </row>
    <row r="6" spans="1:21" s="5" customFormat="1" ht="36" customHeight="1" x14ac:dyDescent="0.2">
      <c r="A6" s="190" t="str">
        <f>VLOOKUP(9,dict!$A:$C,Contents!$D$14,0)</f>
        <v>Консолидированный отчет о движении денежных средств</v>
      </c>
      <c r="B6" s="181" t="str">
        <f>VLOOKUP(33,dict!$A:$C,Contents!$D$14,0)</f>
        <v>Содержание</v>
      </c>
      <c r="C6" s="181" t="str">
        <f>VLOOKUP(2,dict!$A:$C,Contents!$D$14,0)</f>
        <v>Консолидированный отчет о финансовом положении</v>
      </c>
      <c r="D6" s="181" t="str">
        <f>VLOOKUP(6,dict!$A:$C,Contents!$D$14,0)</f>
        <v>Консолидированный отчет о прибыли или убытке и прочем совокупном доходе</v>
      </c>
      <c r="E6" s="181" t="str">
        <f>VLOOKUP(8,dict!$A:$C,Contents!$D$14,0)</f>
        <v>Консолидированный отчет об изменениях в собственном капитале</v>
      </c>
      <c r="F6" s="188" t="str">
        <f>VLOOKUP(9,dict!$A:$C,Contents!$D$14,0)</f>
        <v>Консолидированный отчет о движении денежных средств</v>
      </c>
    </row>
    <row r="7" spans="1:21" s="48" customFormat="1" ht="24.75" customHeight="1" thickBot="1" x14ac:dyDescent="0.35">
      <c r="A7" s="191"/>
      <c r="B7" s="182"/>
      <c r="C7" s="182"/>
      <c r="D7" s="182"/>
      <c r="E7" s="182"/>
      <c r="F7" s="189"/>
    </row>
    <row r="8" spans="1:21" s="15" customFormat="1" ht="15.75" customHeight="1" thickTop="1" x14ac:dyDescent="0.25">
      <c r="A8" s="88"/>
      <c r="B8" s="21"/>
      <c r="C8" s="19"/>
    </row>
    <row r="9" spans="1:21" s="17" customFormat="1" ht="15.75" customHeight="1" x14ac:dyDescent="0.25">
      <c r="A9" s="152" t="str">
        <f>VLOOKUP(35,dict!$A:$C,Contents!$D$14,0)</f>
        <v>в миллионах российских рублей</v>
      </c>
      <c r="B9" s="21"/>
      <c r="C9" s="21"/>
      <c r="U9" s="22"/>
    </row>
    <row r="10" spans="1:21" ht="15.75" customHeight="1" x14ac:dyDescent="0.25">
      <c r="A10" s="54" t="str">
        <f>VLOOKUP(271,dict!$A:$C,Contents!$D$14,0)</f>
        <v xml:space="preserve">Денежные средства от операционной деятельности </v>
      </c>
      <c r="B10" s="91">
        <f>'Statement of compreh income'!B10</f>
        <v>2020</v>
      </c>
      <c r="C10" s="91">
        <f>'Statement of compreh income'!C10</f>
        <v>2019</v>
      </c>
      <c r="T10" s="25"/>
    </row>
    <row r="11" spans="1:21" ht="15.75" customHeight="1" x14ac:dyDescent="0.25">
      <c r="A11" s="153" t="str">
        <f>VLOOKUP(272,dict!$A:$C,Contents!$D$14,0)</f>
        <v>Проценты полученные</v>
      </c>
      <c r="B11" s="16">
        <v>16721</v>
      </c>
      <c r="C11" s="16">
        <v>22231</v>
      </c>
      <c r="T11" s="25"/>
    </row>
    <row r="12" spans="1:21" s="25" customFormat="1" ht="15.75" customHeight="1" x14ac:dyDescent="0.25">
      <c r="A12" s="153" t="str">
        <f>VLOOKUP(273,dict!$A:$C,Contents!$D$14,0)</f>
        <v>Проценты уплаченные</v>
      </c>
      <c r="B12" s="16">
        <v>-8676</v>
      </c>
      <c r="C12" s="16">
        <v>-12674</v>
      </c>
      <c r="G12" s="22"/>
      <c r="H12" s="22"/>
      <c r="I12" s="22"/>
      <c r="U12" s="22"/>
    </row>
    <row r="13" spans="1:21" s="25" customFormat="1" ht="15.75" customHeight="1" x14ac:dyDescent="0.25">
      <c r="A13" s="153" t="str">
        <f>VLOOKUP(443,dict!$A:$C,Contents!$D$14,0)</f>
        <v>Взносы в Агентство по страхованию вкладов уплаченные</v>
      </c>
      <c r="B13" s="16">
        <v>-893</v>
      </c>
      <c r="C13" s="16">
        <v>-1022</v>
      </c>
      <c r="G13" s="22"/>
      <c r="H13" s="22"/>
      <c r="I13" s="22"/>
      <c r="U13" s="22"/>
    </row>
    <row r="14" spans="1:21" s="25" customFormat="1" ht="15.75" customHeight="1" x14ac:dyDescent="0.25">
      <c r="A14" s="153" t="str">
        <f>VLOOKUP(274,dict!$A:$C,Contents!$D$14,0)</f>
        <v>Комиссии полученные</v>
      </c>
      <c r="B14" s="16">
        <v>3378</v>
      </c>
      <c r="C14" s="16">
        <v>4961</v>
      </c>
      <c r="G14" s="22"/>
      <c r="H14" s="22"/>
      <c r="I14" s="22"/>
      <c r="U14" s="22"/>
    </row>
    <row r="15" spans="1:21" s="25" customFormat="1" ht="15.75" customHeight="1" x14ac:dyDescent="0.25">
      <c r="A15" s="153" t="str">
        <f>VLOOKUP(275,dict!$A:$C,Contents!$D$14,0)</f>
        <v>Комиссии уплаченные</v>
      </c>
      <c r="B15" s="16">
        <v>-1050</v>
      </c>
      <c r="C15" s="16">
        <v>-1059</v>
      </c>
      <c r="G15" s="22"/>
      <c r="H15" s="22"/>
      <c r="I15" s="22"/>
      <c r="U15" s="22"/>
    </row>
    <row r="16" spans="1:21" s="35" customFormat="1" x14ac:dyDescent="0.25">
      <c r="A16" s="163" t="str">
        <f>VLOOKUP(277,dict!$A:$C,Contents!$D$14,0)</f>
        <v>Чистые доходы, полученные по операциям с иностранной валютой</v>
      </c>
      <c r="B16" s="16">
        <v>314</v>
      </c>
      <c r="C16" s="16">
        <v>497</v>
      </c>
      <c r="G16" s="22"/>
      <c r="H16" s="22"/>
      <c r="I16" s="22"/>
      <c r="T16" s="25"/>
      <c r="U16" s="22"/>
    </row>
    <row r="17" spans="1:21" s="35" customFormat="1" ht="15.75" customHeight="1" x14ac:dyDescent="0.25">
      <c r="A17" s="153" t="str">
        <f>VLOOKUP(181,dict!$A:$C,Contents!$D$14,0)</f>
        <v>Прочие операционные расходы, уплаченные</v>
      </c>
      <c r="B17" s="16">
        <v>-560</v>
      </c>
      <c r="C17" s="16">
        <v>-174</v>
      </c>
      <c r="G17" s="22"/>
      <c r="H17" s="22"/>
      <c r="I17" s="22"/>
      <c r="T17" s="25"/>
      <c r="U17" s="22"/>
    </row>
    <row r="18" spans="1:21" s="35" customFormat="1" ht="15.75" customHeight="1" x14ac:dyDescent="0.25">
      <c r="A18" s="153" t="str">
        <f>VLOOKUP(279.1,dict!$A:$C,Contents!$D$14,0)</f>
        <v>Расходы на содержание персонала уплаченные</v>
      </c>
      <c r="B18" s="16">
        <v>-6668</v>
      </c>
      <c r="C18" s="16">
        <v>-6259</v>
      </c>
      <c r="D18" s="22"/>
      <c r="G18" s="22"/>
      <c r="H18" s="22"/>
      <c r="I18" s="22"/>
      <c r="T18" s="25"/>
      <c r="U18" s="22"/>
    </row>
    <row r="19" spans="1:21" s="35" customFormat="1" x14ac:dyDescent="0.25">
      <c r="A19" s="153" t="str">
        <f>VLOOKUP(279.2,dict!$A:$C,Contents!$D$14,0)</f>
        <v>Административные и общехозяйственные расходы уплаченные</v>
      </c>
      <c r="B19" s="16">
        <v>-1786</v>
      </c>
      <c r="C19" s="16">
        <v>-2137</v>
      </c>
      <c r="D19" s="22"/>
      <c r="G19" s="22"/>
      <c r="H19" s="22"/>
      <c r="I19" s="22"/>
      <c r="T19" s="25"/>
      <c r="U19" s="22"/>
    </row>
    <row r="20" spans="1:21" s="35" customFormat="1" ht="15.75" customHeight="1" x14ac:dyDescent="0.25">
      <c r="A20" s="153" t="str">
        <f>VLOOKUP(280,dict!$A:$C,Contents!$D$14,0)</f>
        <v>Уплаченный налог на прибыль</v>
      </c>
      <c r="B20" s="16">
        <v>-78</v>
      </c>
      <c r="C20" s="16">
        <v>-243</v>
      </c>
      <c r="D20" s="22"/>
      <c r="G20" s="22"/>
      <c r="H20" s="22"/>
      <c r="I20" s="22"/>
      <c r="T20" s="25"/>
      <c r="U20" s="22"/>
    </row>
    <row r="21" spans="1:21" s="35" customFormat="1" ht="30" customHeight="1" thickBot="1" x14ac:dyDescent="0.3">
      <c r="A21" s="154" t="str">
        <f>VLOOKUP(281,dict!$A:$C,Contents!$D$14,0)</f>
        <v>Денежные средства, полученные от операционной деятельности до изменений в операционных активах и обязательствах</v>
      </c>
      <c r="B21" s="38">
        <f>SUM(B11:B20)</f>
        <v>702</v>
      </c>
      <c r="C21" s="38">
        <f>SUM(C11:C20)</f>
        <v>4121</v>
      </c>
      <c r="G21" s="22"/>
      <c r="H21" s="22"/>
      <c r="I21" s="22"/>
      <c r="T21" s="25"/>
      <c r="U21" s="22"/>
    </row>
    <row r="22" spans="1:21" s="35" customFormat="1" ht="15.75" thickTop="1" x14ac:dyDescent="0.25">
      <c r="A22" s="155"/>
      <c r="B22" s="55"/>
      <c r="C22" s="55"/>
      <c r="T22" s="25"/>
      <c r="U22" s="22"/>
    </row>
    <row r="23" spans="1:21" x14ac:dyDescent="0.25">
      <c r="A23" s="54" t="str">
        <f>VLOOKUP(282,dict!$A:$C,Contents!$D$14,0)</f>
        <v>Изменение в операционных активах и обязательствах</v>
      </c>
      <c r="B23" s="24"/>
      <c r="C23" s="24"/>
      <c r="T23" s="25"/>
    </row>
    <row r="24" spans="1:21" s="35" customFormat="1" ht="24.75" customHeight="1" x14ac:dyDescent="0.25">
      <c r="A24" s="171" t="str">
        <f>VLOOKUP(282.1,dict!$A:$C,Contents!$D$14,0)</f>
        <v>Чистое снижение /(чистый прирост) операционных активов</v>
      </c>
      <c r="B24" s="16"/>
      <c r="C24" s="16"/>
      <c r="G24" s="22"/>
      <c r="H24" s="22"/>
      <c r="I24" s="22"/>
      <c r="T24" s="25"/>
      <c r="U24" s="22"/>
    </row>
    <row r="25" spans="1:21" s="35" customFormat="1" x14ac:dyDescent="0.25">
      <c r="A25" s="153" t="str">
        <f>VLOOKUP(283,dict!$A:$C,Contents!$D$14,0)</f>
        <v>Обязательные резервы в Банке России</v>
      </c>
      <c r="B25" s="16">
        <v>679</v>
      </c>
      <c r="C25" s="16">
        <v>99</v>
      </c>
      <c r="G25" s="22"/>
      <c r="H25" s="22"/>
      <c r="I25" s="22"/>
      <c r="T25" s="25"/>
      <c r="U25" s="22"/>
    </row>
    <row r="26" spans="1:21" s="35" customFormat="1" x14ac:dyDescent="0.25">
      <c r="A26" s="73" t="str">
        <f>VLOOKUP(285,dict!$A:$C,Contents!$D$14,0)</f>
        <v>Средства в других банках</v>
      </c>
      <c r="B26" s="16">
        <v>6038</v>
      </c>
      <c r="C26" s="16">
        <v>3542</v>
      </c>
      <c r="G26" s="22"/>
      <c r="H26" s="22"/>
      <c r="I26" s="22"/>
      <c r="T26" s="25"/>
      <c r="U26" s="22"/>
    </row>
    <row r="27" spans="1:21" s="35" customFormat="1" x14ac:dyDescent="0.25">
      <c r="A27" s="73" t="str">
        <f>VLOOKUP(286,dict!$A:$C,Contents!$D$14,0)</f>
        <v>Кредиты и авансы клиентам</v>
      </c>
      <c r="B27" s="16">
        <v>63879</v>
      </c>
      <c r="C27" s="16">
        <v>-10286</v>
      </c>
      <c r="G27" s="22"/>
      <c r="H27" s="22"/>
      <c r="I27" s="22"/>
      <c r="T27" s="25"/>
      <c r="U27" s="22"/>
    </row>
    <row r="28" spans="1:21" s="35" customFormat="1" ht="13.5" customHeight="1" x14ac:dyDescent="0.25">
      <c r="A28" s="73" t="str">
        <f>VLOOKUP(287,dict!$A:$C,Contents!$D$14,0)</f>
        <v>Прочие финансовые активы</v>
      </c>
      <c r="B28" s="16">
        <v>300</v>
      </c>
      <c r="C28" s="16">
        <v>225</v>
      </c>
      <c r="G28" s="22"/>
      <c r="H28" s="22"/>
      <c r="I28" s="22"/>
      <c r="T28" s="25"/>
      <c r="U28" s="22"/>
    </row>
    <row r="29" spans="1:21" s="35" customFormat="1" ht="15" customHeight="1" x14ac:dyDescent="0.25">
      <c r="A29" s="73" t="str">
        <f>VLOOKUP(288,dict!$A:$C,Contents!$D$14,0)</f>
        <v>Прочие активы</v>
      </c>
      <c r="B29" s="16">
        <v>362</v>
      </c>
      <c r="C29" s="16">
        <v>-5</v>
      </c>
      <c r="G29" s="22"/>
      <c r="H29" s="22"/>
      <c r="I29" s="22"/>
      <c r="T29" s="25"/>
      <c r="U29" s="22"/>
    </row>
    <row r="30" spans="1:21" s="35" customFormat="1" ht="15" customHeight="1" x14ac:dyDescent="0.25">
      <c r="A30" s="171" t="str">
        <f>VLOOKUP(288.1,dict!$A:$C,Contents!$D$14,0)</f>
        <v>(Чистое снижение)/чистый прирост операционных обязательств</v>
      </c>
      <c r="B30" s="16">
        <v>0</v>
      </c>
      <c r="C30" s="16">
        <v>0</v>
      </c>
      <c r="G30" s="22"/>
      <c r="H30" s="22"/>
      <c r="I30" s="22"/>
      <c r="T30" s="25"/>
      <c r="U30" s="22"/>
    </row>
    <row r="31" spans="1:21" s="35" customFormat="1" x14ac:dyDescent="0.25">
      <c r="A31" s="73" t="str">
        <f>VLOOKUP(289,dict!$A:$C,Contents!$D$14,0)</f>
        <v>Средства других банков</v>
      </c>
      <c r="B31" s="16">
        <v>18588</v>
      </c>
      <c r="C31" s="16">
        <v>-1959</v>
      </c>
      <c r="G31" s="22"/>
      <c r="H31" s="22"/>
      <c r="I31" s="22"/>
      <c r="T31" s="25"/>
      <c r="U31" s="22"/>
    </row>
    <row r="32" spans="1:21" s="35" customFormat="1" x14ac:dyDescent="0.25">
      <c r="A32" s="73" t="str">
        <f>VLOOKUP(290,dict!$A:$C,Contents!$D$14,0)</f>
        <v>Средства клиентов</v>
      </c>
      <c r="B32" s="16">
        <v>-130788</v>
      </c>
      <c r="C32" s="16">
        <v>2050</v>
      </c>
      <c r="G32" s="22"/>
      <c r="H32" s="22"/>
      <c r="I32" s="22"/>
      <c r="T32" s="25"/>
      <c r="U32" s="22"/>
    </row>
    <row r="33" spans="1:21" s="35" customFormat="1" ht="15" customHeight="1" x14ac:dyDescent="0.25">
      <c r="A33" s="73" t="str">
        <f>VLOOKUP(291.1,dict!$A:$C,Contents!$D$14,0)</f>
        <v>Векселя и депозитные сертификаты</v>
      </c>
      <c r="B33" s="16">
        <v>-1235</v>
      </c>
      <c r="C33" s="16">
        <v>1178</v>
      </c>
      <c r="G33" s="22"/>
      <c r="H33" s="22"/>
      <c r="I33" s="22"/>
      <c r="T33" s="25"/>
      <c r="U33" s="22"/>
    </row>
    <row r="34" spans="1:21" s="35" customFormat="1" x14ac:dyDescent="0.25">
      <c r="A34" s="73" t="str">
        <f>VLOOKUP(292,dict!$A:$C,Contents!$D$14,0)</f>
        <v>Прочие финансовые обязательства</v>
      </c>
      <c r="B34" s="16">
        <v>-595</v>
      </c>
      <c r="C34" s="16">
        <v>-112</v>
      </c>
      <c r="G34" s="22"/>
      <c r="H34" s="22"/>
      <c r="I34" s="22"/>
      <c r="T34" s="25"/>
      <c r="U34" s="22"/>
    </row>
    <row r="35" spans="1:21" s="35" customFormat="1" x14ac:dyDescent="0.25">
      <c r="A35" s="73" t="str">
        <f>VLOOKUP(293,dict!$A:$C,Contents!$D$14,0)</f>
        <v>Прочие обязательства</v>
      </c>
      <c r="B35" s="16">
        <v>173</v>
      </c>
      <c r="C35" s="16">
        <v>117</v>
      </c>
      <c r="G35" s="22"/>
      <c r="H35" s="22"/>
      <c r="I35" s="22"/>
      <c r="T35" s="25"/>
      <c r="U35" s="22"/>
    </row>
    <row r="36" spans="1:21" s="35" customFormat="1" ht="36.75" customHeight="1" thickBot="1" x14ac:dyDescent="0.3">
      <c r="A36" s="154" t="str">
        <f>VLOOKUP(294.1,dict!$A:$C,Contents!$D$14,0)</f>
        <v>Чистые денежные средства, использованные в операционной деятельности</v>
      </c>
      <c r="B36" s="38">
        <f>SUM(B21:B35)</f>
        <v>-41897</v>
      </c>
      <c r="C36" s="38">
        <f>SUM(C21:C35)</f>
        <v>-1030</v>
      </c>
      <c r="G36" s="22"/>
      <c r="H36" s="22"/>
      <c r="I36" s="22"/>
      <c r="T36" s="25"/>
      <c r="U36" s="22"/>
    </row>
    <row r="37" spans="1:21" s="35" customFormat="1" ht="15.75" thickTop="1" x14ac:dyDescent="0.25">
      <c r="A37" s="73"/>
      <c r="B37" s="55"/>
      <c r="C37" s="55"/>
      <c r="T37" s="25"/>
      <c r="U37" s="22"/>
    </row>
    <row r="38" spans="1:21" x14ac:dyDescent="0.25">
      <c r="A38" s="54" t="str">
        <f>VLOOKUP(295,dict!$A:$C,Contents!$D$14,0)</f>
        <v>Денежные средства от инвестиционной деятельности</v>
      </c>
      <c r="B38" s="24"/>
      <c r="C38" s="24"/>
      <c r="T38" s="25"/>
    </row>
    <row r="39" spans="1:21" s="35" customFormat="1" x14ac:dyDescent="0.25">
      <c r="A39" s="73" t="str">
        <f>VLOOKUP(296.1,dict!$A:$C,Contents!$D$14,0)</f>
        <v>Приобретение инвестиций в ценные бумаги</v>
      </c>
      <c r="B39" s="16">
        <v>-21003</v>
      </c>
      <c r="C39" s="16">
        <v>-35055</v>
      </c>
      <c r="T39" s="25"/>
      <c r="U39" s="22"/>
    </row>
    <row r="40" spans="1:21" s="35" customFormat="1" x14ac:dyDescent="0.25">
      <c r="A40" s="73" t="str">
        <f>VLOOKUP(297.1,dict!$A:$C,Contents!$D$14,0)</f>
        <v>Выручка от реализации инвестиций в ценные бумаги</v>
      </c>
      <c r="B40" s="16">
        <v>33480</v>
      </c>
      <c r="C40" s="16">
        <v>40748</v>
      </c>
      <c r="T40" s="25"/>
      <c r="U40" s="22"/>
    </row>
    <row r="41" spans="1:21" s="35" customFormat="1" x14ac:dyDescent="0.25">
      <c r="A41" s="73" t="str">
        <f>VLOOKUP(299,dict!$A:$C,Contents!$D$14,0)</f>
        <v>Приобретение основных средств и нематериальных активов</v>
      </c>
      <c r="B41" s="16">
        <v>-174</v>
      </c>
      <c r="C41" s="16">
        <v>-272</v>
      </c>
      <c r="T41" s="25"/>
      <c r="U41" s="22"/>
    </row>
    <row r="42" spans="1:21" s="35" customFormat="1" x14ac:dyDescent="0.25">
      <c r="A42" s="73" t="str">
        <f>VLOOKUP(300,dict!$A:$C,Contents!$D$14,0)</f>
        <v xml:space="preserve">Выручка от реализации основных средств </v>
      </c>
      <c r="B42" s="16">
        <v>165</v>
      </c>
      <c r="C42" s="16">
        <v>5</v>
      </c>
      <c r="T42" s="25"/>
      <c r="U42" s="22"/>
    </row>
    <row r="43" spans="1:21" s="35" customFormat="1" x14ac:dyDescent="0.25">
      <c r="A43" s="73" t="str">
        <f>VLOOKUP(302,dict!$A:$C,Contents!$D$14,0)</f>
        <v>Выручка от реализации долгосрочных активов, предназначенных для продажи</v>
      </c>
      <c r="B43" s="16">
        <v>5</v>
      </c>
      <c r="C43" s="16">
        <v>21</v>
      </c>
      <c r="T43" s="25"/>
      <c r="U43" s="22"/>
    </row>
    <row r="44" spans="1:21" s="35" customFormat="1" x14ac:dyDescent="0.25">
      <c r="A44" s="73" t="str">
        <f>VLOOKUP(301,dict!$A:$C,Contents!$D$14,0)</f>
        <v>Выручка от реализации инвестиционного имущества</v>
      </c>
      <c r="B44" s="16">
        <v>618</v>
      </c>
      <c r="C44" s="16">
        <v>561</v>
      </c>
      <c r="T44" s="25"/>
      <c r="U44" s="22"/>
    </row>
    <row r="45" spans="1:21" s="35" customFormat="1" x14ac:dyDescent="0.25">
      <c r="A45" s="73" t="str">
        <f>VLOOKUP(303,dict!$A:$C,Contents!$D$14,0)</f>
        <v>Дивиденды полученные</v>
      </c>
      <c r="B45" s="16">
        <v>9</v>
      </c>
      <c r="C45" s="16">
        <v>106</v>
      </c>
      <c r="T45" s="25"/>
      <c r="U45" s="22"/>
    </row>
    <row r="46" spans="1:21" s="36" customFormat="1" ht="30" customHeight="1" thickBot="1" x14ac:dyDescent="0.3">
      <c r="A46" s="154" t="str">
        <f>VLOOKUP(303.11,dict!$A:$C,Contents!$D$14,0)</f>
        <v>Чистые денежные средства,  полученные от инвестиционной деятельности</v>
      </c>
      <c r="B46" s="38">
        <f>SUM(B39:B45)</f>
        <v>13100</v>
      </c>
      <c r="C46" s="38">
        <f>SUM(C39:C45)</f>
        <v>6114</v>
      </c>
      <c r="T46" s="25"/>
      <c r="U46" s="22"/>
    </row>
    <row r="47" spans="1:21" s="36" customFormat="1" ht="15.75" thickTop="1" x14ac:dyDescent="0.25">
      <c r="A47" s="155"/>
      <c r="B47" s="55"/>
      <c r="C47" s="55"/>
      <c r="T47" s="25"/>
      <c r="U47" s="22"/>
    </row>
    <row r="48" spans="1:21" x14ac:dyDescent="0.25">
      <c r="A48" s="54" t="str">
        <f>VLOOKUP(303.2,dict!$A:$C,Contents!$D$14,0)</f>
        <v>Денежные средства от финансовой деятельности</v>
      </c>
      <c r="B48" s="24"/>
      <c r="C48" s="24"/>
      <c r="T48" s="25"/>
    </row>
    <row r="49" spans="1:21" s="35" customFormat="1" x14ac:dyDescent="0.25">
      <c r="A49" s="73" t="str">
        <f>VLOOKUP(303.7,dict!$A:$C,Contents!$D$14,0)</f>
        <v>Погашение субординированного депозита</v>
      </c>
      <c r="B49" s="16">
        <v>-3000</v>
      </c>
      <c r="C49" s="16">
        <v>0</v>
      </c>
      <c r="T49" s="25"/>
      <c r="U49" s="22"/>
    </row>
    <row r="50" spans="1:21" s="35" customFormat="1" x14ac:dyDescent="0.25">
      <c r="A50" s="73" t="str">
        <f>VLOOKUP(303.5,dict!$A:$C,Contents!$D$14,0)</f>
        <v>Привлечение субординированных кредитов</v>
      </c>
      <c r="B50" s="16">
        <v>5600</v>
      </c>
      <c r="C50" s="16">
        <v>0</v>
      </c>
      <c r="T50" s="25"/>
      <c r="U50" s="22"/>
    </row>
    <row r="51" spans="1:21" s="35" customFormat="1" x14ac:dyDescent="0.25">
      <c r="A51" s="73" t="str">
        <f>VLOOKUP(451,dict!$A:$C,Contents!$D$14,0)</f>
        <v>Выплата процентов по субординированному кредиту, учтенному в капитале</v>
      </c>
      <c r="B51" s="16">
        <v>-6</v>
      </c>
      <c r="C51" s="16">
        <v>0</v>
      </c>
      <c r="T51" s="25"/>
      <c r="U51" s="22"/>
    </row>
    <row r="52" spans="1:21" s="35" customFormat="1" ht="25.5" customHeight="1" x14ac:dyDescent="0.25">
      <c r="A52" s="73" t="str">
        <f>VLOOKUP(303.12,dict!$A:$C,Contents!$D$14,0)</f>
        <v>Выплата дивидендов</v>
      </c>
      <c r="B52" s="16">
        <v>-3</v>
      </c>
      <c r="C52" s="16">
        <v>-3</v>
      </c>
      <c r="T52" s="25"/>
      <c r="U52" s="22"/>
    </row>
    <row r="53" spans="1:21" s="35" customFormat="1" x14ac:dyDescent="0.25">
      <c r="A53" s="73" t="str">
        <f>VLOOKUP(303.9,dict!$A:$C,Contents!$D$14,0)</f>
        <v>Погашения выпущенных облигаций, обеспеченных закладными</v>
      </c>
      <c r="B53" s="16">
        <v>-918</v>
      </c>
      <c r="C53" s="16">
        <v>-1430</v>
      </c>
      <c r="T53" s="25"/>
      <c r="U53" s="22"/>
    </row>
    <row r="54" spans="1:21" s="36" customFormat="1" ht="30" customHeight="1" thickBot="1" x14ac:dyDescent="0.3">
      <c r="A54" s="154" t="str">
        <f>VLOOKUP(303.6,dict!$A:$C,Contents!$D$14,0)</f>
        <v>Чистые денежные средства полученные от /(использованные в) финансовой деятельности</v>
      </c>
      <c r="B54" s="38">
        <f>SUM(B49:B53)</f>
        <v>1673</v>
      </c>
      <c r="C54" s="38">
        <f>SUM(C49:C53)</f>
        <v>-1433</v>
      </c>
      <c r="T54" s="25"/>
      <c r="U54" s="22"/>
    </row>
    <row r="55" spans="1:21" s="36" customFormat="1" ht="15.75" thickTop="1" x14ac:dyDescent="0.25">
      <c r="A55" s="155"/>
      <c r="B55" s="55"/>
      <c r="C55" s="55"/>
      <c r="T55" s="25"/>
      <c r="U55" s="22"/>
    </row>
    <row r="56" spans="1:21" s="36" customFormat="1" x14ac:dyDescent="0.25">
      <c r="A56" s="156" t="str">
        <f>VLOOKUP(304,dict!$A:$C,Contents!$D$14,0)</f>
        <v>Влияние изменений обменного курса на денежные средства и их эквиваленты</v>
      </c>
      <c r="B56" s="82">
        <v>496</v>
      </c>
      <c r="C56" s="82">
        <v>-1103</v>
      </c>
      <c r="T56" s="25"/>
      <c r="U56" s="22"/>
    </row>
    <row r="57" spans="1:21" s="70" customFormat="1" ht="33" customHeight="1" x14ac:dyDescent="0.25">
      <c r="A57" s="157" t="str">
        <f>VLOOKUP(305,dict!$A:$C,Contents!$D$14,0)</f>
        <v>Чистое (снижение)/ увеличениеденежных средств и их эквивалентов</v>
      </c>
      <c r="B57" s="69">
        <f>B36+B46+B54+B56</f>
        <v>-26628</v>
      </c>
      <c r="C57" s="69">
        <f>C36+C46+C54+C56</f>
        <v>2548</v>
      </c>
      <c r="T57" s="71"/>
      <c r="U57" s="72"/>
    </row>
    <row r="58" spans="1:21" s="35" customFormat="1" x14ac:dyDescent="0.25">
      <c r="A58" s="73" t="str">
        <f>VLOOKUP(306,dict!$A:$C,Contents!$D$14,0)</f>
        <v>Денежные средства и их эквиваленты на начало года</v>
      </c>
      <c r="B58" s="16">
        <v>34786</v>
      </c>
      <c r="C58" s="16">
        <v>32238</v>
      </c>
      <c r="T58" s="25"/>
      <c r="U58" s="22"/>
    </row>
    <row r="59" spans="1:21" s="36" customFormat="1" ht="15.75" thickBot="1" x14ac:dyDescent="0.3">
      <c r="A59" s="158" t="str">
        <f>VLOOKUP(330,dict!$A:$C,Contents!$D$14,0)</f>
        <v>Денежные средства и их эквиваленты на конец года</v>
      </c>
      <c r="B59" s="37">
        <f>B57+B58</f>
        <v>8158</v>
      </c>
      <c r="C59" s="37">
        <f>C57+C58</f>
        <v>34786</v>
      </c>
      <c r="T59" s="25"/>
      <c r="U59" s="22"/>
    </row>
    <row r="60" spans="1:21" s="35" customFormat="1" ht="15.75" thickTop="1" x14ac:dyDescent="0.2">
      <c r="A60" s="159"/>
      <c r="B60" s="144"/>
      <c r="C60" s="144"/>
    </row>
    <row r="61" spans="1:21" s="35" customFormat="1" x14ac:dyDescent="0.2">
      <c r="A61" s="159"/>
      <c r="B61" s="41"/>
      <c r="C61" s="41"/>
    </row>
    <row r="62" spans="1:21" s="35" customFormat="1" x14ac:dyDescent="0.2">
      <c r="A62" s="159"/>
      <c r="B62" s="41"/>
      <c r="C62" s="31"/>
    </row>
    <row r="63" spans="1:21" s="35" customFormat="1" x14ac:dyDescent="0.2">
      <c r="A63" s="159"/>
      <c r="B63" s="32"/>
      <c r="C63" s="31"/>
    </row>
    <row r="64" spans="1:21" s="35" customFormat="1" x14ac:dyDescent="0.2">
      <c r="A64" s="159"/>
      <c r="B64" s="32"/>
      <c r="C64" s="31"/>
    </row>
    <row r="65" spans="1:3" s="35" customFormat="1" x14ac:dyDescent="0.2">
      <c r="A65" s="159"/>
      <c r="B65" s="32"/>
      <c r="C65" s="31"/>
    </row>
    <row r="66" spans="1:3" s="35" customFormat="1" x14ac:dyDescent="0.2">
      <c r="A66" s="159"/>
      <c r="B66" s="32"/>
      <c r="C66" s="31"/>
    </row>
    <row r="67" spans="1:3" s="35" customFormat="1" x14ac:dyDescent="0.2">
      <c r="A67" s="159"/>
      <c r="B67" s="32"/>
      <c r="C67" s="31"/>
    </row>
    <row r="68" spans="1:3" s="35" customFormat="1" x14ac:dyDescent="0.2">
      <c r="A68" s="159"/>
      <c r="B68" s="32"/>
      <c r="C68" s="31"/>
    </row>
    <row r="69" spans="1:3" s="35" customFormat="1" x14ac:dyDescent="0.2">
      <c r="A69" s="159"/>
      <c r="B69" s="33"/>
      <c r="C69" s="34"/>
    </row>
    <row r="70" spans="1:3" s="35" customFormat="1" x14ac:dyDescent="0.2">
      <c r="A70" s="159"/>
      <c r="B70" s="33"/>
      <c r="C70" s="34"/>
    </row>
    <row r="71" spans="1:3" s="35" customFormat="1" x14ac:dyDescent="0.2">
      <c r="A71" s="160"/>
      <c r="B71" s="33"/>
      <c r="C71" s="34"/>
    </row>
  </sheetData>
  <customSheetViews>
    <customSheetView guid="{EF7F1FF5-A363-4212-950F-F377D0676E4F}" showPageBreaks="1" fitToPage="1" printArea="1">
      <selection activeCell="E58" sqref="E58"/>
      <pageMargins left="0.75" right="0.75" top="1" bottom="1" header="0.5" footer="0.5"/>
      <pageSetup paperSize="9" scale="74" orientation="portrait" r:id="rId1"/>
      <headerFooter alignWithMargins="0"/>
    </customSheetView>
    <customSheetView guid="{BA259822-0E07-4052-A562-F895651CF688}" showPageBreaks="1" printArea="1">
      <selection activeCell="A40" sqref="A40"/>
      <pageMargins left="0.75" right="0.75" top="1" bottom="1" header="0.5" footer="0.5"/>
      <pageSetup paperSize="9" orientation="portrait" r:id="rId2"/>
      <headerFooter alignWithMargins="0"/>
    </customSheetView>
    <customSheetView guid="{EC5F2008-392D-40E4-B096-5FE6B8C97B31}" fitToPage="1" topLeftCell="A37">
      <selection activeCell="B54" sqref="B54"/>
      <pageMargins left="0.75" right="0.75" top="1" bottom="1" header="0.5" footer="0.5"/>
      <pageSetup paperSize="9" scale="76" orientation="portrait" r:id="rId3"/>
      <headerFooter alignWithMargins="0"/>
    </customSheetView>
    <customSheetView guid="{16DABAA0-1513-42C6-9007-B1BF840F9470}" showPageBreaks="1" printArea="1" topLeftCell="A37">
      <selection activeCell="F53" sqref="F53"/>
      <pageMargins left="0.75" right="0.75" top="1" bottom="1" header="0.5" footer="0.5"/>
      <pageSetup paperSize="9" orientation="portrait" r:id="rId4"/>
      <headerFooter alignWithMargins="0"/>
    </customSheetView>
    <customSheetView guid="{371123B4-BB2D-4334-AFFE-1C19B7394DB8}" showPageBreaks="1" printArea="1">
      <selection activeCell="C17" sqref="C17"/>
      <pageMargins left="0.75" right="0.75" top="1" bottom="1" header="0.5" footer="0.5"/>
      <pageSetup paperSize="9" orientation="portrait" r:id="rId5"/>
      <headerFooter alignWithMargins="0"/>
    </customSheetView>
    <customSheetView guid="{E2FF84D5-4AA5-487D-9BD4-62B26247C042}" showRuler="0">
      <selection activeCell="A3" sqref="A3"/>
      <pageMargins left="0.75" right="0.75" top="1" bottom="1" header="0.5" footer="0.5"/>
      <headerFooter alignWithMargins="0"/>
    </customSheetView>
    <customSheetView guid="{F7754C05-3DA4-4D41-8D23-8E948B6B42DF}" showPageBreaks="1" fitToPage="1" printArea="1" topLeftCell="A22">
      <selection activeCell="A36" sqref="A36"/>
      <pageMargins left="0.75" right="0.75" top="1" bottom="1" header="0.5" footer="0.5"/>
      <pageSetup paperSize="9" scale="72" orientation="portrait" r:id="rId6"/>
      <headerFooter alignWithMargins="0"/>
    </customSheetView>
  </customSheetViews>
  <mergeCells count="6">
    <mergeCell ref="D6:D7"/>
    <mergeCell ref="E6:E7"/>
    <mergeCell ref="F6:F7"/>
    <mergeCell ref="A6:A7"/>
    <mergeCell ref="B6:B7"/>
    <mergeCell ref="C6:C7"/>
  </mergeCells>
  <phoneticPr fontId="6" type="noConversion"/>
  <hyperlinks>
    <hyperlink ref="B6:B7" location="Contents!A1" display="Содержание"/>
    <hyperlink ref="D6" location="'Statement of compreh income'!A1" display="'Statement of compreh income'!A1"/>
    <hyperlink ref="C6" location="'Statement of financial position'!A1" display="'Statement of financial position'!A1"/>
    <hyperlink ref="C6:C7" location="KPI!A1" display="KPI!A1"/>
    <hyperlink ref="E6" location="'Statement of changes in equity'!A1" display="'Statement of changes in equity'!A1"/>
    <hyperlink ref="F6" location="'Statement of cash flows'!A1" display="'Statement of cash flows'!A1"/>
  </hyperlinks>
  <pageMargins left="0.75" right="0.75" top="1" bottom="1" header="0.5" footer="0.5"/>
  <pageSetup paperSize="9" scale="72" orientation="portrait" r:id="rId7"/>
  <headerFooter alignWithMargins="0"/>
  <drawing r:id="rId8"/>
  <legacyDrawing r:id="rId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865" r:id="rId10" name="Drop Down 577">
              <controlPr defaultSize="0" autoLine="0" autoPict="0">
                <anchor moveWithCells="1">
                  <from>
                    <xdr:col>2</xdr:col>
                    <xdr:colOff>0</xdr:colOff>
                    <xdr:row>2</xdr:row>
                    <xdr:rowOff>0</xdr:rowOff>
                  </from>
                  <to>
                    <xdr:col>2</xdr:col>
                    <xdr:colOff>1009650</xdr:colOff>
                    <xdr:row>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"/>
  <sheetViews>
    <sheetView workbookViewId="0"/>
  </sheetViews>
  <sheetFormatPr defaultRowHeight="15" x14ac:dyDescent="0.2"/>
  <sheetData/>
  <customSheetViews>
    <customSheetView guid="{EF7F1FF5-A363-4212-950F-F377D0676E4F}" state="hidden">
      <pageMargins left="0.7" right="0.7" top="0.75" bottom="0.75" header="0.3" footer="0.3"/>
    </customSheetView>
    <customSheetView guid="{BA259822-0E07-4052-A562-F895651CF688}" state="hidden">
      <pageMargins left="0.7" right="0.7" top="0.75" bottom="0.75" header="0.3" footer="0.3"/>
    </customSheetView>
    <customSheetView guid="{EC5F2008-392D-40E4-B096-5FE6B8C97B31}" state="hidden">
      <pageMargins left="0.7" right="0.7" top="0.75" bottom="0.75" header="0.3" footer="0.3"/>
    </customSheetView>
    <customSheetView guid="{16DABAA0-1513-42C6-9007-B1BF840F9470}" state="hidden">
      <pageMargins left="0.7" right="0.7" top="0.75" bottom="0.75" header="0.3" footer="0.3"/>
    </customSheetView>
    <customSheetView guid="{F7754C05-3DA4-4D41-8D23-8E948B6B42DF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dict</vt:lpstr>
      <vt:lpstr>Contents</vt:lpstr>
      <vt:lpstr>Statement of fin position</vt:lpstr>
      <vt:lpstr>Statement of compreh income</vt:lpstr>
      <vt:lpstr>Statement of changes in equity</vt:lpstr>
      <vt:lpstr>Statement of cash flows</vt:lpstr>
      <vt:lpstr>Лист1</vt:lpstr>
      <vt:lpstr>'Statement of cash flows'!Область_печати</vt:lpstr>
      <vt:lpstr>'Statement of changes in equity'!Область_печати</vt:lpstr>
      <vt:lpstr>'Statement of compreh income'!Область_печати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Горбунова Мария Игоревна</dc:creator>
  <cp:lastModifiedBy>Никонорова Алла Александровна</cp:lastModifiedBy>
  <cp:lastPrinted>2019-03-26T15:27:26Z</cp:lastPrinted>
  <dcterms:created xsi:type="dcterms:W3CDTF">2006-11-07T16:58:27Z</dcterms:created>
  <dcterms:modified xsi:type="dcterms:W3CDTF">2021-03-19T11:15:15Z</dcterms:modified>
</cp:coreProperties>
</file>